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Inputs" sheetId="2" state="visible" r:id="rId2"/>
    <sheet xmlns:r="http://schemas.openxmlformats.org/officeDocument/2006/relationships" name="Charts" sheetId="3" state="visible" r:id="rId3"/>
    <sheet xmlns:r="http://schemas.openxmlformats.org/officeDocument/2006/relationships" name="Model Time" sheetId="4" state="visible" r:id="rId4"/>
    <sheet xmlns:r="http://schemas.openxmlformats.org/officeDocument/2006/relationships" name="Model Volume" sheetId="5" state="visible" r:id="rId5"/>
    <sheet xmlns:r="http://schemas.openxmlformats.org/officeDocument/2006/relationships" name="Sensitivity" sheetId="6" state="visible" r:id="rId6"/>
    <sheet xmlns:r="http://schemas.openxmlformats.org/officeDocument/2006/relationships" name="Assumptions" sheetId="7" state="visible" r:id="rId7"/>
    <sheet xmlns:r="http://schemas.openxmlformats.org/officeDocument/2006/relationships" name="Legend" sheetId="8" state="visible" r:id="rId8"/>
  </sheets>
  <definedNames>
    <definedName name="price_lam_req">Assumptions!$C$12</definedName>
    <definedName name="price_lam_gbs">Assumptions!$C$13</definedName>
    <definedName name="price_ddb_wru">Assumptions!$C$14</definedName>
    <definedName name="cache_read_mult">Assumptions!$C$16</definedName>
    <definedName name="batch_discount">Assumptions!$C$17</definedName>
    <definedName name="price_ddb_rru">Assumptions!$C$22</definedName>
    <definedName name="model_price_table">Assumptions!$A$25:$C$28</definedName>
    <definedName name="verdict">Inputs!$B$5</definedName>
    <definedName name="be_month">Inputs!$B$6</definedName>
    <definedName name="be_month_disc">Inputs!$B$7</definedName>
    <definedName name="be_volume">Inputs!$B$8</definedName>
    <definedName name="multiplier_out">Inputs!$B$9</definedName>
    <definedName name="maint_pct_out">Inputs!$B$10</definedName>
    <definedName name="n_dev">Inputs!$B$13</definedName>
    <definedName name="wage_dev">Inputs!$B$14</definedName>
    <definedName name="n_pm">Inputs!$B$15</definedName>
    <definedName name="wage_pm">Inputs!$B$16</definedName>
    <definedName name="load_mult">Inputs!$B$17</definedName>
    <definedName name="build_months">Inputs!$B$18</definedName>
    <definedName name="overrun_factor">Inputs!$B$19</definedName>
    <definedName name="delay_cost_mo">Inputs!$B$20</definedName>
    <definedName name="maint_fte">Inputs!$B$21</definedName>
    <definedName name="maint_wage">Inputs!$B$22</definedName>
    <definedName name="volume_mo">Inputs!$B$25</definedName>
    <definedName name="horizon_months">Inputs!$B$26</definedName>
    <definedName name="lam_invocations">Inputs!$B$29</definedName>
    <definedName name="lam_mem_gb">Inputs!$B$30</definedName>
    <definedName name="lam_dur_s">Inputs!$B$31</definedName>
    <definedName name="ddb_writes">Inputs!$B$32</definedName>
    <definedName name="ddb_reads">Inputs!$B$33</definedName>
    <definedName name="other_per_txn">Inputs!$B$34</definedName>
    <definedName name="c_build">Inputs!$B$35</definedName>
    <definedName name="model_sel">Inputs!$B$38</definedName>
    <definedName name="in_tokens">Inputs!$B$39</definedName>
    <definedName name="out_tokens">Inputs!$B$40</definedName>
    <definedName name="cache_hit_rate">Inputs!$B$41</definedName>
    <definedName name="batch_share">Inputs!$B$42</definedName>
    <definedName name="price_in">Inputs!$B$43</definedName>
    <definedName name="price_out">Inputs!$B$44</definedName>
    <definedName name="c_buy_derived">Inputs!$B$45</definedName>
    <definedName name="c_buy_low">Inputs!$B$46</definedName>
    <definedName name="c_buy_high">Inputs!$B$47</definedName>
    <definedName name="override_on">Inputs!$B$48</definedName>
    <definedName name="manual_buy_cost">Inputs!$B$49</definedName>
    <definedName name="c_buy_eff">Inputs!$B$50</definedName>
    <definedName name="upfront_buy">Inputs!$B$53</definedName>
    <definedName name="disc_annual">Inputs!$B$54</definedName>
    <definedName name="disc_monthly">Inputs!$B$55</definedName>
    <definedName name="wage_bill">Inputs!$B$58</definedName>
    <definedName name="loaded_monthly">Inputs!$B$59</definedName>
    <definedName name="build_labor">Inputs!$B$60</definedName>
    <definedName name="maint_monthly">Inputs!$B$61</definedName>
    <definedName name="build_run_mo">Inputs!$B$62</definedName>
    <definedName name="buy_run_mo">Inputs!$B$63</definedName>
  </definedNames>
  <calcPr calcId="124519" fullCalcOnLoad="1"/>
</workbook>
</file>

<file path=xl/styles.xml><?xml version="1.0" encoding="utf-8"?>
<styleSheet xmlns="http://schemas.openxmlformats.org/spreadsheetml/2006/main">
  <numFmts count="11">
    <numFmt numFmtId="164" formatCode="0.0000"/>
    <numFmt numFmtId="165" formatCode="0.00000000"/>
    <numFmt numFmtId="166" formatCode="0.000"/>
    <numFmt numFmtId="167" formatCode="#,##0.0"/>
    <numFmt numFmtId="168" formatCode="#,##0&quot;x&quot;"/>
    <numFmt numFmtId="169" formatCode="0.0%"/>
    <numFmt numFmtId="170" formatCode="&quot;$&quot;#,##0"/>
    <numFmt numFmtId="171" formatCode="0.0"/>
    <numFmt numFmtId="172" formatCode="&quot;$&quot;0.00000000"/>
    <numFmt numFmtId="173" formatCode="0.0000%"/>
    <numFmt numFmtId="174" formatCode="&quot;$&quot;#,##0.00"/>
  </numFmts>
  <fonts count="8">
    <font>
      <name val="Calibri"/>
      <family val="2"/>
      <color theme="1"/>
      <sz val="11"/>
      <scheme val="minor"/>
    </font>
    <font>
      <b val="1"/>
      <color rgb="001F3B57"/>
      <sz val="16"/>
    </font>
    <font>
      <i val="1"/>
      <color rgb="00666666"/>
      <sz val="9"/>
    </font>
    <font>
      <b val="1"/>
      <color rgb="00FFFFFF"/>
      <sz val="11"/>
    </font>
    <font>
      <b val="1"/>
    </font>
    <font>
      <color rgb="000563C1"/>
      <sz val="9"/>
      <u val="single"/>
    </font>
    <font>
      <b val="1"/>
      <color rgb="001F3B57"/>
      <sz val="11"/>
    </font>
    <font>
      <b val="1"/>
      <color rgb="009C0006"/>
    </font>
  </fonts>
  <fills count="8">
    <fill>
      <patternFill/>
    </fill>
    <fill>
      <patternFill patternType="gray125"/>
    </fill>
    <fill>
      <patternFill patternType="solid">
        <fgColor rgb="001F3B57"/>
      </patternFill>
    </fill>
    <fill>
      <patternFill patternType="solid">
        <fgColor rgb="00C9D6E2"/>
      </patternFill>
    </fill>
    <fill>
      <patternFill patternType="solid">
        <fgColor rgb="00FFF3CD"/>
      </patternFill>
    </fill>
    <fill>
      <patternFill patternType="solid">
        <fgColor rgb="00DCE9F7"/>
      </patternFill>
    </fill>
    <fill>
      <patternFill patternType="solid">
        <fgColor rgb="00F9D6D5"/>
      </patternFill>
    </fill>
    <fill>
      <patternFill patternType="solid">
        <fgColor rgb="00EFEFEF"/>
      </patternFill>
    </fill>
  </fills>
  <borders count="6">
    <border>
      <left/>
      <right/>
      <top/>
      <bottom/>
      <diagonal/>
    </border>
    <border>
      <left style="thin">
        <color rgb="00B0B0B0"/>
      </left>
      <right style="thin">
        <color rgb="00B0B0B0"/>
      </right>
      <top style="thin">
        <color rgb="00B0B0B0"/>
      </top>
      <bottom style="thin">
        <color rgb="00B0B0B0"/>
      </bottom>
    </border>
    <border>
      <left/>
      <right/>
      <top style="thin">
        <color rgb="00B0B0B0"/>
      </top>
      <bottom/>
      <diagonal/>
    </border>
    <border>
      <left/>
      <right style="thin">
        <color rgb="00B0B0B0"/>
      </right>
      <top style="thin">
        <color rgb="00B0B0B0"/>
      </top>
      <bottom/>
      <diagonal/>
    </border>
    <border>
      <left/>
      <right/>
      <top style="thin">
        <color rgb="00B0B0B0"/>
      </top>
      <bottom style="thin">
        <color rgb="00B0B0B0"/>
      </bottom>
      <diagonal/>
    </border>
    <border>
      <left/>
      <right style="thin">
        <color rgb="00B0B0B0"/>
      </right>
      <top style="thin">
        <color rgb="00B0B0B0"/>
      </top>
      <bottom style="thin">
        <color rgb="00B0B0B0"/>
      </bottom>
      <diagonal/>
    </border>
  </borders>
  <cellStyleXfs count="1">
    <xf numFmtId="0" fontId="0" fillId="0" borderId="0"/>
  </cellStyleXfs>
  <cellXfs count="50">
    <xf numFmtId="0" fontId="0" fillId="0" borderId="0" pivotButton="0" quotePrefix="0" xfId="0"/>
    <xf numFmtId="0" fontId="1" fillId="0" borderId="0" pivotButton="0" quotePrefix="0" xfId="0"/>
    <xf numFmtId="0" fontId="6" fillId="0" borderId="0" pivotButton="0" quotePrefix="0" xfId="0"/>
    <xf numFmtId="0" fontId="0" fillId="0" borderId="0" applyAlignment="1" pivotButton="0" quotePrefix="0" xfId="0">
      <alignment vertical="top" wrapText="1"/>
    </xf>
    <xf numFmtId="0" fontId="2" fillId="0" borderId="0" pivotButton="0" quotePrefix="0" xfId="0"/>
    <xf numFmtId="0" fontId="6" fillId="3" borderId="1" pivotButton="0" quotePrefix="0" xfId="0"/>
    <xf numFmtId="0" fontId="0" fillId="3" borderId="1" pivotButton="0" quotePrefix="0" xfId="0"/>
    <xf numFmtId="0" fontId="4" fillId="0" borderId="0" pivotButton="0" quotePrefix="0" xfId="0"/>
    <xf numFmtId="0" fontId="4" fillId="4" borderId="1" applyAlignment="1" pivotButton="0" quotePrefix="0" xfId="0">
      <alignment horizontal="left" vertical="center" wrapText="1"/>
    </xf>
    <xf numFmtId="0" fontId="0" fillId="0" borderId="4" pivotButton="0" quotePrefix="0" xfId="0"/>
    <xf numFmtId="0" fontId="0" fillId="0" borderId="5" pivotButton="0" quotePrefix="0" xfId="0"/>
    <xf numFmtId="167" fontId="4" fillId="4" borderId="1" pivotButton="0" quotePrefix="0" xfId="0"/>
    <xf numFmtId="3" fontId="4" fillId="4" borderId="1" pivotButton="0" quotePrefix="0" xfId="0"/>
    <xf numFmtId="168" fontId="4" fillId="4" borderId="1" pivotButton="0" quotePrefix="0" xfId="0"/>
    <xf numFmtId="169" fontId="4" fillId="4" borderId="1" pivotButton="0" quotePrefix="0" xfId="0"/>
    <xf numFmtId="3" fontId="0" fillId="5" borderId="1" pivotButton="0" quotePrefix="0" xfId="0"/>
    <xf numFmtId="170" fontId="0" fillId="5" borderId="1" pivotButton="0" quotePrefix="0" xfId="0"/>
    <xf numFmtId="164" fontId="0" fillId="5" borderId="1" pivotButton="0" quotePrefix="0" xfId="0"/>
    <xf numFmtId="2" fontId="0" fillId="5" borderId="1" pivotButton="0" quotePrefix="0" xfId="0"/>
    <xf numFmtId="170" fontId="7" fillId="6" borderId="1" pivotButton="0" quotePrefix="0" xfId="0"/>
    <xf numFmtId="171" fontId="0" fillId="5" borderId="1" pivotButton="0" quotePrefix="0" xfId="0"/>
    <xf numFmtId="166" fontId="0" fillId="5" borderId="1" pivotButton="0" quotePrefix="0" xfId="0"/>
    <xf numFmtId="172" fontId="0" fillId="5" borderId="1" pivotButton="0" quotePrefix="0" xfId="0"/>
    <xf numFmtId="172" fontId="4" fillId="7" borderId="1" pivotButton="0" quotePrefix="0" xfId="0"/>
    <xf numFmtId="0" fontId="0" fillId="5" borderId="1" pivotButton="0" quotePrefix="0" xfId="0"/>
    <xf numFmtId="169" fontId="0" fillId="5" borderId="1" pivotButton="0" quotePrefix="0" xfId="0"/>
    <xf numFmtId="2" fontId="4" fillId="7" borderId="1" pivotButton="0" quotePrefix="0" xfId="0"/>
    <xf numFmtId="173" fontId="4" fillId="7" borderId="1" pivotButton="0" quotePrefix="0" xfId="0"/>
    <xf numFmtId="170" fontId="4" fillId="7" borderId="1" pivotButton="0" quotePrefix="0" xfId="0"/>
    <xf numFmtId="174" fontId="4" fillId="7" borderId="1" pivotButton="0" quotePrefix="0" xfId="0"/>
    <xf numFmtId="0" fontId="3" fillId="2" borderId="0" pivotButton="0" quotePrefix="0" xfId="0"/>
    <xf numFmtId="170" fontId="0" fillId="0" borderId="0" pivotButton="0" quotePrefix="0" xfId="0"/>
    <xf numFmtId="0" fontId="3" fillId="2" borderId="1" applyAlignment="1" pivotButton="0" quotePrefix="0" xfId="0">
      <alignment vertical="center" wrapText="1"/>
    </xf>
    <xf numFmtId="164" fontId="0" fillId="0" borderId="0" pivotButton="0" quotePrefix="0" xfId="0"/>
    <xf numFmtId="3" fontId="0" fillId="0" borderId="0" pivotButton="0" quotePrefix="0" xfId="0"/>
    <xf numFmtId="168" fontId="3" fillId="2" borderId="1" pivotButton="0" quotePrefix="0" xfId="0"/>
    <xf numFmtId="3" fontId="4" fillId="0" borderId="1" pivotButton="0" quotePrefix="0" xfId="0"/>
    <xf numFmtId="167" fontId="0" fillId="0" borderId="1" pivotButton="0" quotePrefix="0" xfId="0"/>
    <xf numFmtId="0" fontId="3" fillId="2" borderId="1" pivotButton="0" quotePrefix="0" xfId="0"/>
    <xf numFmtId="0" fontId="4" fillId="0" borderId="1" pivotButton="0" quotePrefix="0" xfId="0"/>
    <xf numFmtId="0" fontId="0" fillId="0" borderId="1" pivotButton="0" quotePrefix="0" xfId="0"/>
    <xf numFmtId="164" fontId="0" fillId="0" borderId="1" pivotButton="0" quotePrefix="0" xfId="0"/>
    <xf numFmtId="0" fontId="5" fillId="0" borderId="1" pivotButton="0" quotePrefix="0" xfId="0"/>
    <xf numFmtId="0" fontId="2" fillId="0" borderId="1" applyAlignment="1" pivotButton="0" quotePrefix="0" xfId="0">
      <alignment vertical="top" wrapText="1"/>
    </xf>
    <xf numFmtId="165" fontId="0" fillId="0" borderId="1" pivotButton="0" quotePrefix="0" xfId="0"/>
    <xf numFmtId="166" fontId="0" fillId="0" borderId="1" pivotButton="0" quotePrefix="0" xfId="0"/>
    <xf numFmtId="0" fontId="4" fillId="5" borderId="1" pivotButton="0" quotePrefix="0" xfId="0"/>
    <xf numFmtId="0" fontId="4" fillId="7" borderId="1" pivotButton="0" quotePrefix="0" xfId="0"/>
    <xf numFmtId="0" fontId="4" fillId="6" borderId="1" pivotButton="0" quotePrefix="0" xfId="0"/>
    <xf numFmtId="0" fontId="4" fillId="4" borderId="1" pivotButton="0" quotePrefix="0" xfId="0"/>
  </cellXfs>
  <cellStyles count="1">
    <cellStyle name="Normal" xfId="0" builtinId="0" hidden="0"/>
  </cellStyles>
  <dxfs count="1">
    <dxf>
      <fill>
        <patternFill patternType="solid">
          <fgColor rgb="00F9D6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Cumulative cost over time</a:t>
            </a:r>
          </a:p>
        </rich>
      </tx>
    </title>
    <plotArea>
      <lineChart>
        <grouping val="standard"/>
        <ser>
          <idx val="0"/>
          <order val="0"/>
          <tx>
            <strRef>
              <f>'Model Time'!B1</f>
            </strRef>
          </tx>
          <spPr>
            <a:ln xmlns:a="http://schemas.openxmlformats.org/drawingml/2006/main">
              <a:prstDash val="solid"/>
            </a:ln>
          </spPr>
          <marker>
            <symbol val="none"/>
            <spPr>
              <a:ln xmlns:a="http://schemas.openxmlformats.org/drawingml/2006/main">
                <a:prstDash val="solid"/>
              </a:ln>
            </spPr>
          </marker>
          <cat>
            <numRef>
              <f>'Model Time'!$A$2:$A$62</f>
            </numRef>
          </cat>
          <val>
            <numRef>
              <f>'Model Time'!$B$2:$B$62</f>
            </numRef>
          </val>
        </ser>
        <ser>
          <idx val="1"/>
          <order val="1"/>
          <tx>
            <strRef>
              <f>'Model Time'!C1</f>
            </strRef>
          </tx>
          <spPr>
            <a:ln xmlns:a="http://schemas.openxmlformats.org/drawingml/2006/main">
              <a:prstDash val="solid"/>
            </a:ln>
          </spPr>
          <marker>
            <symbol val="none"/>
            <spPr>
              <a:ln xmlns:a="http://schemas.openxmlformats.org/drawingml/2006/main">
                <a:prstDash val="solid"/>
              </a:ln>
            </spPr>
          </marker>
          <cat>
            <numRef>
              <f>'Model Time'!$A$2:$A$62</f>
            </numRef>
          </cat>
          <val>
            <numRef>
              <f>'Model Time'!$C$2:$C$62</f>
            </numRef>
          </val>
        </ser>
        <ser>
          <idx val="2"/>
          <order val="2"/>
          <tx>
            <strRef>
              <f>'Model Time'!D1</f>
            </strRef>
          </tx>
          <spPr>
            <a:ln xmlns:a="http://schemas.openxmlformats.org/drawingml/2006/main">
              <a:prstDash val="solid"/>
            </a:ln>
          </spPr>
          <marker>
            <symbol val="none"/>
            <spPr>
              <a:ln xmlns:a="http://schemas.openxmlformats.org/drawingml/2006/main">
                <a:prstDash val="solid"/>
              </a:ln>
            </spPr>
          </marker>
          <cat>
            <numRef>
              <f>'Model Time'!$A$2:$A$62</f>
            </numRef>
          </cat>
          <val>
            <numRef>
              <f>'Model Time'!$D$2:$D$62</f>
            </numRef>
          </val>
        </ser>
        <ser>
          <idx val="3"/>
          <order val="3"/>
          <tx>
            <strRef>
              <f>'Model Time'!E1</f>
            </strRef>
          </tx>
          <spPr>
            <a:ln xmlns:a="http://schemas.openxmlformats.org/drawingml/2006/main">
              <a:prstDash val="solid"/>
            </a:ln>
          </spPr>
          <marker>
            <symbol val="none"/>
            <spPr>
              <a:ln xmlns:a="http://schemas.openxmlformats.org/drawingml/2006/main">
                <a:prstDash val="solid"/>
              </a:ln>
            </spPr>
          </marker>
          <cat>
            <numRef>
              <f>'Model Time'!$A$2:$A$62</f>
            </numRef>
          </cat>
          <val>
            <numRef>
              <f>'Model Time'!$E$2:$E$62</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Cumulative cost (USD)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cost at horizon, by volume</a:t>
            </a:r>
          </a:p>
        </rich>
      </tx>
    </title>
    <plotArea>
      <lineChart>
        <grouping val="standard"/>
        <ser>
          <idx val="0"/>
          <order val="0"/>
          <tx>
            <strRef>
              <f>'Model Volume'!B2</f>
            </strRef>
          </tx>
          <spPr>
            <a:ln xmlns:a="http://schemas.openxmlformats.org/drawingml/2006/main">
              <a:prstDash val="solid"/>
            </a:ln>
          </spPr>
          <marker>
            <symbol val="none"/>
            <spPr>
              <a:ln xmlns:a="http://schemas.openxmlformats.org/drawingml/2006/main">
                <a:prstDash val="solid"/>
              </a:ln>
            </spPr>
          </marker>
          <cat>
            <numRef>
              <f>'Model Volume'!$A$3:$A$14</f>
            </numRef>
          </cat>
          <val>
            <numRef>
              <f>'Model Volume'!$B$3:$B$14</f>
            </numRef>
          </val>
        </ser>
        <ser>
          <idx val="1"/>
          <order val="1"/>
          <tx>
            <strRef>
              <f>'Model Volume'!C2</f>
            </strRef>
          </tx>
          <spPr>
            <a:ln xmlns:a="http://schemas.openxmlformats.org/drawingml/2006/main">
              <a:prstDash val="solid"/>
            </a:ln>
          </spPr>
          <marker>
            <symbol val="none"/>
            <spPr>
              <a:ln xmlns:a="http://schemas.openxmlformats.org/drawingml/2006/main">
                <a:prstDash val="solid"/>
              </a:ln>
            </spPr>
          </marker>
          <cat>
            <numRef>
              <f>'Model Volume'!$A$3:$A$14</f>
            </numRef>
          </cat>
          <val>
            <numRef>
              <f>'Model Volume'!$C$3:$C$14</f>
            </numRef>
          </val>
        </ser>
        <ser>
          <idx val="2"/>
          <order val="2"/>
          <tx>
            <strRef>
              <f>'Model Volume'!D2</f>
            </strRef>
          </tx>
          <spPr>
            <a:ln xmlns:a="http://schemas.openxmlformats.org/drawingml/2006/main">
              <a:prstDash val="solid"/>
            </a:ln>
          </spPr>
          <marker>
            <symbol val="none"/>
            <spPr>
              <a:ln xmlns:a="http://schemas.openxmlformats.org/drawingml/2006/main">
                <a:prstDash val="solid"/>
              </a:ln>
            </spPr>
          </marker>
          <cat>
            <numRef>
              <f>'Model Volume'!$A$3:$A$14</f>
            </numRef>
          </cat>
          <val>
            <numRef>
              <f>'Model Volume'!$D$3:$D$14</f>
            </numRef>
          </val>
        </ser>
        <ser>
          <idx val="3"/>
          <order val="3"/>
          <tx>
            <strRef>
              <f>'Model Volume'!E2</f>
            </strRef>
          </tx>
          <spPr>
            <a:ln xmlns:a="http://schemas.openxmlformats.org/drawingml/2006/main">
              <a:prstDash val="solid"/>
            </a:ln>
          </spPr>
          <marker>
            <symbol val="none"/>
            <spPr>
              <a:ln xmlns:a="http://schemas.openxmlformats.org/drawingml/2006/main">
                <a:prstDash val="solid"/>
              </a:ln>
            </spPr>
          </marker>
          <cat>
            <numRef>
              <f>'Model Volume'!$A$3:$A$14</f>
            </numRef>
          </cat>
          <val>
            <numRef>
              <f>'Model Volume'!$E$3:$E$14</f>
            </numRef>
          </val>
        </ser>
        <axId val="10"/>
        <axId val="100"/>
      </lineChart>
      <catAx>
        <axId val="10"/>
        <scaling>
          <orientation val="minMax"/>
        </scaling>
        <axPos val="l"/>
        <title>
          <tx>
            <rich>
              <a:bodyPr xmlns:a="http://schemas.openxmlformats.org/drawingml/2006/main"/>
              <a:p xmlns:a="http://schemas.openxmlformats.org/drawingml/2006/main">
                <a:pPr>
                  <a:defRPr/>
                </a:pPr>
                <a:r>
                  <a:t>Transactions per 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cost (USD)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Where the money goes, at your horizon</a:t>
            </a:r>
          </a:p>
        </rich>
      </tx>
    </title>
    <plotArea>
      <barChart>
        <barDir val="col"/>
        <grouping val="stacked"/>
        <ser>
          <idx val="0"/>
          <order val="0"/>
          <tx>
            <strRef>
              <f>'Charts'!B61</f>
            </strRef>
          </tx>
          <spPr>
            <a:ln xmlns:a="http://schemas.openxmlformats.org/drawingml/2006/main">
              <a:prstDash val="solid"/>
            </a:ln>
          </spPr>
          <cat>
            <numRef>
              <f>'Charts'!$A$62:$A$66</f>
            </numRef>
          </cat>
          <val>
            <numRef>
              <f>'Charts'!$B$62:$B$66</f>
            </numRef>
          </val>
        </ser>
        <ser>
          <idx val="1"/>
          <order val="1"/>
          <tx>
            <strRef>
              <f>'Charts'!C61</f>
            </strRef>
          </tx>
          <spPr>
            <a:ln xmlns:a="http://schemas.openxmlformats.org/drawingml/2006/main">
              <a:prstDash val="solid"/>
            </a:ln>
          </spPr>
          <cat>
            <numRef>
              <f>'Charts'!$A$62:$A$66</f>
            </numRef>
          </cat>
          <val>
            <numRef>
              <f>'Charts'!$C$62:$C$66</f>
            </numRef>
          </val>
        </ser>
        <dLbls>
          <showVal val="0"/>
        </dLbls>
        <gapWidth val="150"/>
        <overlap val="10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Cost (USD)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3</row>
      <rowOff>0</rowOff>
    </from>
    <ext cx="86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25</row>
      <rowOff>0</rowOff>
    </from>
    <ext cx="86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47</row>
      <rowOff>0</rowOff>
    </from>
    <ext cx="576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7.xml.rels><Relationships xmlns="http://schemas.openxmlformats.org/package/2006/relationships"><Relationship Type="http://schemas.openxmlformats.org/officeDocument/2006/relationships/hyperlink" Target="https://www.bls.gov/news.release/ecec.nr0.htm" TargetMode="External" Id="rId1"/><Relationship Type="http://schemas.openxmlformats.org/officeDocument/2006/relationships/hyperlink" Target="https://www.bls.gov/news.release/ocwage.t01.htm" TargetMode="External" Id="rId2"/><Relationship Type="http://schemas.openxmlformats.org/officeDocument/2006/relationships/hyperlink" Target="https://www.bls.gov/news.release/ocwage.t01.htm" TargetMode="External" Id="rId3"/><Relationship Type="http://schemas.openxmlformats.org/officeDocument/2006/relationships/hyperlink" Target="https://pages.stern.nyu.edu/~adamodar/New_Home_Page/datafile/wacc.html" TargetMode="External" Id="rId4"/><Relationship Type="http://schemas.openxmlformats.org/officeDocument/2006/relationships/hyperlink" Target="https://arxiv.org/abs/1304.0265" TargetMode="External" Id="rId5"/><Relationship Type="http://schemas.openxmlformats.org/officeDocument/2006/relationships/hyperlink" Target="https://arxiv.org/abs/1304.0265" TargetMode="External" Id="rId6"/><Relationship Type="http://schemas.openxmlformats.org/officeDocument/2006/relationships/hyperlink" Target="https://arxiv.org/abs/2210.01573" TargetMode="External" Id="rId7"/><Relationship Type="http://schemas.openxmlformats.org/officeDocument/2006/relationships/hyperlink" Target="https://aws.amazon.com/lambda/pricing/" TargetMode="External" Id="rId8"/><Relationship Type="http://schemas.openxmlformats.org/officeDocument/2006/relationships/hyperlink" Target="https://aws.amazon.com/lambda/pricing/" TargetMode="External" Id="rId9"/><Relationship Type="http://schemas.openxmlformats.org/officeDocument/2006/relationships/hyperlink" Target="https://aws.amazon.com/dynamodb/pricing/on-demand/" TargetMode="External" Id="rId10"/><Relationship Type="http://schemas.openxmlformats.org/officeDocument/2006/relationships/hyperlink" Target="https://platform.claude.com/docs/en/about-claude/pricing" TargetMode="External" Id="rId11"/><Relationship Type="http://schemas.openxmlformats.org/officeDocument/2006/relationships/hyperlink" Target="https://platform.claude.com/docs/en/about-claude/pricing" TargetMode="External" Id="rId12"/><Relationship Type="http://schemas.openxmlformats.org/officeDocument/2006/relationships/hyperlink" Target="https://platform.claude.com/docs/en/about-claude/pricing" TargetMode="External" Id="rId13"/><Relationship Type="http://schemas.openxmlformats.org/officeDocument/2006/relationships/hyperlink" Target="https://pmc.ncbi.nlm.nih.gov/articles/PMC3610582/" TargetMode="External" Id="rId14"/></Relationships>
</file>

<file path=xl/worksheets/sheet1.xml><?xml version="1.0" encoding="utf-8"?>
<worksheet xmlns="http://schemas.openxmlformats.org/spreadsheetml/2006/main">
  <sheetPr>
    <outlinePr summaryBelow="1" summaryRight="1"/>
    <pageSetUpPr fitToPage="1"/>
  </sheetPr>
  <dimension ref="A1:A22"/>
  <sheetViews>
    <sheetView workbookViewId="0">
      <selection activeCell="A1" sqref="A1"/>
    </sheetView>
  </sheetViews>
  <sheetFormatPr baseColWidth="8" defaultRowHeight="15"/>
  <cols>
    <col width="118" customWidth="1" min="1" max="1"/>
  </cols>
  <sheetData>
    <row r="1">
      <c r="A1" s="1" t="inlineStr">
        <is>
          <t>Build vs Buy Break-Even Calculator</t>
        </is>
      </c>
    </row>
    <row r="3">
      <c r="A3" s="2" t="inlineStr">
        <is>
          <t>What this answers</t>
        </is>
      </c>
    </row>
    <row r="4" ht="45" customHeight="1">
      <c r="A4" s="3" t="inlineStr">
        <is>
          <t>You can build a capability in-house, or rent one from an API. The build costs a lot up front and almost nothing per transaction. The API costs almost nothing up front and a great deal per transaction. This workbook finds the point where those two lines cross, in both time and volume.</t>
        </is>
      </c>
    </row>
    <row r="6">
      <c r="A6" s="2" t="inlineStr">
        <is>
          <t>How to use it</t>
        </is>
      </c>
    </row>
    <row r="7" ht="45" customHeight="1">
      <c r="A7" s="3" t="inlineStr">
        <is>
          <t>Open the Inputs tab. Change the blue cells. Set the red cell. Read the decision tile at the top. The Charts tab shows the same answer three ways. Every default traces to a row on the Assumptions and Sources tab, with a live link.</t>
        </is>
      </c>
    </row>
    <row r="9">
      <c r="A9" s="2" t="inlineStr">
        <is>
          <t>The one number people get wrong</t>
        </is>
      </c>
    </row>
    <row r="10" ht="60" customHeight="1">
      <c r="A10" s="3" t="inlineStr">
        <is>
          <t>The 'AI costs 250 times more per transaction' style of claim is not a constant. It is the ratio of two rate cards, and it moves by more than a hundredfold depending on which model you pick, how long your prompt is, whether you cache, and whether you batch. This workbook derives it from those inputs and shows it to you as an output. If you already know your true ratio, there is an override.</t>
        </is>
      </c>
    </row>
    <row r="12">
      <c r="A12" s="2" t="inlineStr">
        <is>
          <t>The surprise in the default scenario</t>
        </is>
      </c>
    </row>
    <row r="13" ht="75" customHeight="1">
      <c r="A13" s="3" t="inlineStr">
        <is>
          <t>Six developers at $150,000 and two managers at $95,000 for six months is $787,253 of loaded labor. At 100,000 transactions a month the API bill is $450 a month, while one maintenance engineer for the built system costs $16,369 a month. The maintenance salary alone is thirty-six times the entire API bill, so the build never repays its construction cost at any multiplier. Below roughly 3.64 million transactions a month, the multiplier is not the deciding variable. Above it, it is.</t>
        </is>
      </c>
    </row>
    <row r="15">
      <c r="A15" s="2" t="inlineStr">
        <is>
          <t>Why maintenance is entered as headcount</t>
        </is>
      </c>
    </row>
    <row r="16" ht="45" customHeight="1">
      <c r="A16" s="3" t="inlineStr">
        <is>
          <t>You will find advice online that maintenance runs 15 to 20 percent of build cost per year. There is no peer-reviewed source for it; every trail ends at a vendor blog. So this workbook asks you for something you can actually observe, a headcount, and reports the implied percentage back to you.</t>
        </is>
      </c>
    </row>
    <row r="18">
      <c r="A18" s="2" t="inlineStr">
        <is>
          <t>What this model does NOT include</t>
        </is>
      </c>
    </row>
    <row r="19" ht="75" customHeight="1">
      <c r="A19" s="3" t="inlineStr">
        <is>
          <t>The loading multiplier covers employer compensation only, so it excludes facilities, equipment, software licences, recruiting and management overhead. There is no tax treatment or capitalisation. There is no quality difference modelled between the two options, which is a real and often decisive factor. There is no switching cost or vendor lock-in in either direction. And no rate card stays current: check the dates on the Assumptions tab.</t>
        </is>
      </c>
    </row>
    <row r="21">
      <c r="A21" s="2" t="inlineStr">
        <is>
          <t>Sources</t>
        </is>
      </c>
    </row>
    <row r="22" ht="60" customHeight="1">
      <c r="A22" s="3" t="inlineStr">
        <is>
          <t>Salary loading from the US Bureau of Labor Statistics Employer Costs for Employee Compensation. Wages from BLS Occupational Employment and Wage Statistics. Discount rate from Damodaran at NYU Stern. Overrun figures from Flyvbjerg and Budzier. Compute prices from AWS. Model prices from Anthropic. Full detail, with links and pull dates, on the Assumptions and Sources tab.</t>
        </is>
      </c>
    </row>
  </sheetData>
  <printOptions horizontalCentered="0"/>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E63"/>
  <sheetViews>
    <sheetView workbookViewId="0">
      <pane ySplit="3" topLeftCell="A4" activePane="bottomLeft" state="frozen"/>
      <selection pane="bottomLeft" activeCell="A1" sqref="A1"/>
    </sheetView>
  </sheetViews>
  <sheetFormatPr baseColWidth="8" defaultRowHeight="15"/>
  <cols>
    <col width="46" customWidth="1" min="1" max="1"/>
    <col width="18" customWidth="1" min="2" max="2"/>
    <col width="16" customWidth="1" min="3" max="3"/>
    <col width="8" customWidth="1" min="4" max="4"/>
    <col width="78" customWidth="1" min="5" max="5"/>
  </cols>
  <sheetData>
    <row r="1">
      <c r="A1" s="1" t="inlineStr">
        <is>
          <t>Build vs Buy Break-Even Calculator</t>
        </is>
      </c>
    </row>
    <row r="2">
      <c r="A2" s="4" t="inlineStr">
        <is>
          <t>Blue cells are yours to edit. Grey cells are formulas. Red cells must be set before you trust the answer.</t>
        </is>
      </c>
    </row>
    <row r="4">
      <c r="A4" s="5" t="inlineStr">
        <is>
          <t>DECISION</t>
        </is>
      </c>
      <c r="B4" s="6" t="n"/>
      <c r="C4" s="6" t="n"/>
      <c r="D4" s="6" t="n"/>
      <c r="E4" s="6" t="n"/>
    </row>
    <row r="5" ht="58" customHeight="1">
      <c r="A5" s="7" t="inlineStr">
        <is>
          <t>Verdict</t>
        </is>
      </c>
      <c r="B5" s="8">
        <f>IF(ISTEXT(be_month),"BUY. The build never repays: at this volume the maintenance cost alone exceeds the entire buy-side run cost.",IF(be_month&gt;horizon_months,"BUY within your "&amp;horizon_months&amp;"-month horizon. Break-even at "&amp;TEXT(be_month,"0.0")&amp;" months sits beyond it.","BUILD pays back at "&amp;TEXT(be_month,"0.0")&amp;" months, inside your "&amp;horizon_months&amp;"-month horizon."))</f>
        <v/>
      </c>
      <c r="C5" s="9" t="n"/>
      <c r="D5" s="10" t="n"/>
    </row>
    <row r="6">
      <c r="A6" s="7" t="inlineStr">
        <is>
          <t>Break-even month (undiscounted)</t>
        </is>
      </c>
      <c r="B6" s="11">
        <f>IF((volume_mo*(c_buy_eff-c_build)-maint_monthly)&lt;=0,"Never",MAX(build_months,(build_months*(loaded_monthly*overrun_factor+delay_cost_mo-maint_monthly-volume_mo*c_build)-upfront_buy)/(volume_mo*(c_buy_eff-c_build)-maint_monthly)))</f>
        <v/>
      </c>
    </row>
    <row r="7">
      <c r="A7" s="7" t="inlineStr">
        <is>
          <t>Break-even month (discounted)</t>
        </is>
      </c>
      <c r="B7" s="11">
        <f>IFERROR(INDEX('Model Time'!$A$2:$A$62,MATCH(TRUE,INDEX('Model Time'!$G$2:$G$62&lt;'Model Time'!$H$2:$H$62,0),0)),"Never")</f>
        <v/>
      </c>
    </row>
    <row r="8">
      <c r="A8" s="7" t="inlineStr">
        <is>
          <t>Break-even volume (transactions/month)</t>
        </is>
      </c>
      <c r="B8" s="12">
        <f>IF((c_buy_eff*horizon_months-c_build*(horizon_months-build_months))&lt;=0,"n/a",MAX(0,(build_labor+delay_cost_mo*build_months+maint_monthly*(horizon_months-build_months)-upfront_buy)/(c_buy_eff*horizon_months-c_build*(horizon_months-build_months))))</f>
        <v/>
      </c>
    </row>
    <row r="9">
      <c r="A9" s="7" t="inlineStr">
        <is>
          <t>Implied multiplier (buy cost / build cost)</t>
        </is>
      </c>
      <c r="B9" s="13">
        <f>IF(c_build&lt;=0,"n/a",c_buy_eff/c_build)</f>
        <v/>
      </c>
    </row>
    <row r="10">
      <c r="A10" s="7" t="inlineStr">
        <is>
          <t>Implied maintenance, % of build labor per year</t>
        </is>
      </c>
      <c r="B10" s="14">
        <f>IF(build_labor&lt;=0,"n/a",maint_monthly*12/build_labor)</f>
        <v/>
      </c>
    </row>
    <row r="12">
      <c r="A12" s="5" t="inlineStr">
        <is>
          <t>TEAM AND BUILD</t>
        </is>
      </c>
      <c r="B12" s="6" t="n"/>
      <c r="C12" s="6" t="n"/>
      <c r="D12" s="6" t="n"/>
      <c r="E12" s="6" t="n"/>
    </row>
    <row r="13">
      <c r="A13" t="inlineStr">
        <is>
          <t>Developers on the build</t>
        </is>
      </c>
      <c r="B13" s="15" t="n">
        <v>6</v>
      </c>
      <c r="C13" s="4" t="inlineStr">
        <is>
          <t>people</t>
        </is>
      </c>
      <c r="D13" s="4" t="inlineStr"/>
    </row>
    <row r="14">
      <c r="A14" t="inlineStr">
        <is>
          <t>Developer salary</t>
        </is>
      </c>
      <c r="B14" s="16" t="n">
        <v>150000</v>
      </c>
      <c r="C14" s="4" t="inlineStr">
        <is>
          <t>USD/year</t>
        </is>
      </c>
      <c r="D14" s="4" t="inlineStr"/>
      <c r="E14" s="4" t="inlineStr">
        <is>
          <t>National median is $135,980 (A-02). $150,000 implies a senior team.</t>
        </is>
      </c>
    </row>
    <row r="15">
      <c r="A15" t="inlineStr">
        <is>
          <t>Product or project managers</t>
        </is>
      </c>
      <c r="B15" s="15" t="n">
        <v>2</v>
      </c>
      <c r="C15" s="4" t="inlineStr">
        <is>
          <t>people</t>
        </is>
      </c>
      <c r="D15" s="4" t="inlineStr"/>
    </row>
    <row r="16">
      <c r="A16" t="inlineStr">
        <is>
          <t>PM salary</t>
        </is>
      </c>
      <c r="B16" s="16" t="n">
        <v>95000</v>
      </c>
      <c r="C16" s="4" t="inlineStr">
        <is>
          <t>USD/year</t>
        </is>
      </c>
      <c r="D16" s="4" t="inlineStr"/>
      <c r="E16" s="4" t="inlineStr">
        <is>
          <t>National median is $102,320 (A-03). $95,000 sits below it.</t>
        </is>
      </c>
    </row>
    <row r="17">
      <c r="A17" t="inlineStr">
        <is>
          <t>Salary loading multiplier</t>
        </is>
      </c>
      <c r="B17" s="17" t="n">
        <v>1.4445</v>
      </c>
      <c r="C17" s="4" t="inlineStr">
        <is>
          <t>multiplier</t>
        </is>
      </c>
      <c r="D17" s="4" t="inlineStr">
        <is>
          <t>A-01</t>
        </is>
      </c>
      <c r="E17" s="4" t="inlineStr">
        <is>
          <t>Wages to employer cost. Compensation only: add your own overhead for facilities, equipment, licences and recruiting.</t>
        </is>
      </c>
    </row>
    <row r="18">
      <c r="A18" t="inlineStr">
        <is>
          <t>Build duration</t>
        </is>
      </c>
      <c r="B18" s="15" t="n">
        <v>6</v>
      </c>
      <c r="C18" s="4" t="inlineStr">
        <is>
          <t>months</t>
        </is>
      </c>
      <c r="D18" s="4" t="inlineStr"/>
    </row>
    <row r="19">
      <c r="A19" t="inlineStr">
        <is>
          <t>Build overrun factor</t>
        </is>
      </c>
      <c r="B19" s="18" t="n">
        <v>1</v>
      </c>
      <c r="C19" s="4" t="inlineStr">
        <is>
          <t>multiplier</t>
        </is>
      </c>
      <c r="D19" s="4" t="inlineStr">
        <is>
          <t>A-05</t>
        </is>
      </c>
      <c r="E19" s="4" t="inlineStr">
        <is>
          <t>1.00 = your estimate holds. 1.27 = average IT overrun. 3.00 = the one-in-six tail.</t>
        </is>
      </c>
    </row>
    <row r="20">
      <c r="A20" t="inlineStr">
        <is>
          <t>Cost of delay</t>
        </is>
      </c>
      <c r="B20" s="19" t="n">
        <v>0</v>
      </c>
      <c r="C20" s="4" t="inlineStr">
        <is>
          <t>USD/month</t>
        </is>
      </c>
      <c r="D20" s="4" t="inlineStr"/>
      <c r="E20" s="4" t="inlineStr">
        <is>
          <t>SET ME. Value of shipping sooner: lost revenue or unrealised savings per month. Left at zero this model is conservative toward building.</t>
        </is>
      </c>
    </row>
    <row r="21">
      <c r="A21" t="inlineStr">
        <is>
          <t>Maintenance headcount after launch</t>
        </is>
      </c>
      <c r="B21" s="20" t="n">
        <v>1</v>
      </c>
      <c r="C21" s="4" t="inlineStr">
        <is>
          <t>FTE</t>
        </is>
      </c>
      <c r="D21" s="4" t="inlineStr"/>
      <c r="E21" s="4" t="inlineStr">
        <is>
          <t>Entered as headcount because no peer-reviewed source exists for a maintenance percentage. See A-14. The implied percentage is reported in the decision tile.</t>
        </is>
      </c>
    </row>
    <row r="22">
      <c r="A22" t="inlineStr">
        <is>
          <t>Maintenance salary basis</t>
        </is>
      </c>
      <c r="B22" s="16" t="n">
        <v>135980</v>
      </c>
      <c r="C22" s="4" t="inlineStr">
        <is>
          <t>USD/year</t>
        </is>
      </c>
      <c r="D22" s="4" t="inlineStr">
        <is>
          <t>A-02</t>
        </is>
      </c>
    </row>
    <row r="24">
      <c r="A24" s="5" t="inlineStr">
        <is>
          <t>VOLUME AND HORIZON</t>
        </is>
      </c>
      <c r="B24" s="6" t="n"/>
      <c r="C24" s="6" t="n"/>
      <c r="D24" s="6" t="n"/>
      <c r="E24" s="6" t="n"/>
    </row>
    <row r="25">
      <c r="A25" t="inlineStr">
        <is>
          <t>Transactions</t>
        </is>
      </c>
      <c r="B25" s="15" t="n">
        <v>100000</v>
      </c>
      <c r="C25" s="4" t="inlineStr">
        <is>
          <t>per month</t>
        </is>
      </c>
      <c r="D25" s="4" t="inlineStr"/>
    </row>
    <row r="26">
      <c r="A26" t="inlineStr">
        <is>
          <t>Planning horizon</t>
        </is>
      </c>
      <c r="B26" s="15" t="n">
        <v>36</v>
      </c>
      <c r="C26" s="4" t="inlineStr">
        <is>
          <t>months</t>
        </is>
      </c>
      <c r="D26" s="4" t="inlineStr"/>
      <c r="E26" s="4" t="inlineStr">
        <is>
          <t>Maximum 60.</t>
        </is>
      </c>
    </row>
    <row r="28">
      <c r="A28" s="5" t="inlineStr">
        <is>
          <t>BUILD SIDE: COST PER TRANSACTION</t>
        </is>
      </c>
      <c r="B28" s="6" t="n"/>
      <c r="C28" s="6" t="n"/>
      <c r="D28" s="6" t="n"/>
      <c r="E28" s="6" t="n"/>
    </row>
    <row r="29">
      <c r="A29" t="inlineStr">
        <is>
          <t>Compute invocations per transaction</t>
        </is>
      </c>
      <c r="B29" s="15" t="n">
        <v>1</v>
      </c>
      <c r="C29" s="4" t="inlineStr">
        <is>
          <t>count</t>
        </is>
      </c>
      <c r="D29" s="4" t="inlineStr"/>
    </row>
    <row r="30">
      <c r="A30" t="inlineStr">
        <is>
          <t>Memory per invocation</t>
        </is>
      </c>
      <c r="B30" s="21" t="n">
        <v>0.125</v>
      </c>
      <c r="C30" s="4" t="inlineStr">
        <is>
          <t>GB</t>
        </is>
      </c>
      <c r="D30" s="4" t="inlineStr"/>
    </row>
    <row r="31">
      <c r="A31" t="inlineStr">
        <is>
          <t>Duration per invocation</t>
        </is>
      </c>
      <c r="B31" s="21" t="n">
        <v>0.1</v>
      </c>
      <c r="C31" s="4" t="inlineStr">
        <is>
          <t>seconds</t>
        </is>
      </c>
      <c r="D31" s="4" t="inlineStr"/>
    </row>
    <row r="32">
      <c r="A32" t="inlineStr">
        <is>
          <t>Database writes per transaction</t>
        </is>
      </c>
      <c r="B32" s="15" t="n">
        <v>1</v>
      </c>
      <c r="C32" s="4" t="inlineStr">
        <is>
          <t>WRU</t>
        </is>
      </c>
      <c r="D32" s="4" t="inlineStr"/>
    </row>
    <row r="33">
      <c r="A33" t="inlineStr">
        <is>
          <t>Database reads per transaction</t>
        </is>
      </c>
      <c r="B33" s="15" t="n">
        <v>2</v>
      </c>
      <c r="C33" s="4" t="inlineStr">
        <is>
          <t>RRU</t>
        </is>
      </c>
      <c r="D33" s="4" t="inlineStr"/>
    </row>
    <row r="34">
      <c r="A34" t="inlineStr">
        <is>
          <t>Everything else per transaction</t>
        </is>
      </c>
      <c r="B34" s="22" t="n">
        <v>0</v>
      </c>
      <c r="C34" s="4" t="inlineStr">
        <is>
          <t>USD/txn</t>
        </is>
      </c>
      <c r="D34" s="4" t="inlineStr"/>
      <c r="E34" s="4" t="inlineStr">
        <is>
          <t>Data transfer, gateway, logging, other services. The serverless figure alone is a FLOOR, not a realistic request path. Raise this.</t>
        </is>
      </c>
    </row>
    <row r="35">
      <c r="A35" t="inlineStr">
        <is>
          <t>Build cost per transaction</t>
        </is>
      </c>
      <c r="B35" s="23">
        <f>lam_invocations*price_lam_req/1000000+lam_mem_gb*lam_dur_s*price_lam_gbs*lam_invocations+ddb_writes*price_ddb_wru/1000000+ddb_reads*price_ddb_rru/1000000+other_per_txn</f>
        <v/>
      </c>
      <c r="C35" s="4" t="inlineStr">
        <is>
          <t>USD/txn</t>
        </is>
      </c>
      <c r="D35" s="4" t="inlineStr"/>
    </row>
    <row r="37">
      <c r="A37" s="5" t="inlineStr">
        <is>
          <t>BUY SIDE: COST PER TRANSACTION</t>
        </is>
      </c>
      <c r="B37" s="6" t="n"/>
      <c r="C37" s="6" t="n"/>
      <c r="D37" s="6" t="n"/>
      <c r="E37" s="6" t="n"/>
    </row>
    <row r="38">
      <c r="A38" t="inlineStr">
        <is>
          <t>Model</t>
        </is>
      </c>
      <c r="B38" s="24" t="inlineStr">
        <is>
          <t>Claude Haiku 4.5</t>
        </is>
      </c>
      <c r="C38" s="4" t="inlineStr">
        <is>
          <t>dropdown</t>
        </is>
      </c>
      <c r="D38" s="4" t="inlineStr">
        <is>
          <t>A-11</t>
        </is>
      </c>
    </row>
    <row r="39">
      <c r="A39" t="inlineStr">
        <is>
          <t>Input tokens per transaction</t>
        </is>
      </c>
      <c r="B39" s="15" t="n">
        <v>2000</v>
      </c>
      <c r="C39" s="4" t="inlineStr">
        <is>
          <t>tokens</t>
        </is>
      </c>
      <c r="D39" s="4" t="inlineStr"/>
      <c r="E39" s="4" t="inlineStr">
        <is>
          <t>Include your system prompt, retrieved context and conversation history.</t>
        </is>
      </c>
    </row>
    <row r="40">
      <c r="A40" t="inlineStr">
        <is>
          <t>Output tokens per transaction</t>
        </is>
      </c>
      <c r="B40" s="15" t="n">
        <v>500</v>
      </c>
      <c r="C40" s="4" t="inlineStr">
        <is>
          <t>tokens</t>
        </is>
      </c>
      <c r="D40" s="4" t="inlineStr"/>
    </row>
    <row r="41">
      <c r="A41" t="inlineStr">
        <is>
          <t>Share of input served from prompt cache</t>
        </is>
      </c>
      <c r="B41" s="25" t="n">
        <v>0</v>
      </c>
      <c r="C41" s="4" t="inlineStr">
        <is>
          <t>0 to 1</t>
        </is>
      </c>
      <c r="D41" s="4" t="inlineStr">
        <is>
          <t>A-12</t>
        </is>
      </c>
      <c r="E41" s="4" t="inlineStr">
        <is>
          <t>A cache hit costs 10% of base input. High reuse of a long system prompt moves this a long way.</t>
        </is>
      </c>
    </row>
    <row r="42">
      <c r="A42" t="inlineStr">
        <is>
          <t>Share of traffic run through the Batch API</t>
        </is>
      </c>
      <c r="B42" s="25" t="n">
        <v>0</v>
      </c>
      <c r="C42" s="4" t="inlineStr">
        <is>
          <t>0 to 1</t>
        </is>
      </c>
      <c r="D42" s="4" t="inlineStr">
        <is>
          <t>A-13</t>
        </is>
      </c>
      <c r="E42" s="4" t="inlineStr">
        <is>
          <t>50% off, for work that tolerates asynchronous processing.</t>
        </is>
      </c>
    </row>
    <row r="43">
      <c r="A43" t="inlineStr">
        <is>
          <t>Input price</t>
        </is>
      </c>
      <c r="B43" s="26">
        <f>VLOOKUP(model_sel,model_price_table,2,FALSE)</f>
        <v/>
      </c>
      <c r="C43" s="4" t="inlineStr">
        <is>
          <t>USD/MTok</t>
        </is>
      </c>
      <c r="D43" s="4" t="inlineStr"/>
    </row>
    <row r="44">
      <c r="A44" t="inlineStr">
        <is>
          <t>Output price</t>
        </is>
      </c>
      <c r="B44" s="26">
        <f>VLOOKUP(model_sel,model_price_table,3,FALSE)</f>
        <v/>
      </c>
      <c r="C44" s="4" t="inlineStr">
        <is>
          <t>USD/MTok</t>
        </is>
      </c>
      <c r="D44" s="4" t="inlineStr"/>
    </row>
    <row r="45">
      <c r="A45" t="inlineStr">
        <is>
          <t>Buy cost per transaction (derived)</t>
        </is>
      </c>
      <c r="B45" s="23">
        <f>(in_tokens*price_in+out_tokens*price_out)/1000000*(1-cache_hit_rate*(1-cache_read_mult))*(1-batch_share*batch_discount)</f>
        <v/>
      </c>
      <c r="C45" s="4" t="inlineStr">
        <is>
          <t>USD/txn</t>
        </is>
      </c>
      <c r="D45" s="4" t="inlineStr"/>
    </row>
    <row r="46">
      <c r="A46" t="inlineStr">
        <is>
          <t>Cheapest tier per transaction (Haiku 4.5)</t>
        </is>
      </c>
      <c r="B46" s="23">
        <f>(in_tokens*VLOOKUP("Claude Haiku 4.5",model_price_table,2,FALSE)+out_tokens*VLOOKUP("Claude Haiku 4.5",model_price_table,3,FALSE))/1000000*(1-cache_hit_rate*(1-cache_read_mult))*(1-batch_share*batch_discount)</f>
        <v/>
      </c>
      <c r="C46" s="4" t="inlineStr">
        <is>
          <t>USD/txn</t>
        </is>
      </c>
      <c r="D46" s="4" t="inlineStr"/>
    </row>
    <row r="47">
      <c r="A47" t="inlineStr">
        <is>
          <t>Dearest tier per transaction (Opus 5)</t>
        </is>
      </c>
      <c r="B47" s="23">
        <f>(in_tokens*VLOOKUP("Claude Opus 5",model_price_table,2,FALSE)+out_tokens*VLOOKUP("Claude Opus 5",model_price_table,3,FALSE))/1000000*(1-cache_hit_rate*(1-cache_read_mult))*(1-batch_share*batch_discount)</f>
        <v/>
      </c>
      <c r="C47" s="4" t="inlineStr">
        <is>
          <t>USD/txn</t>
        </is>
      </c>
      <c r="D47" s="4" t="inlineStr"/>
    </row>
    <row r="48">
      <c r="A48" t="inlineStr">
        <is>
          <t>Override the derived buy cost?</t>
        </is>
      </c>
      <c r="B48" s="15" t="n">
        <v>0</v>
      </c>
      <c r="C48" s="4" t="inlineStr">
        <is>
          <t>1 = yes, 0 = no</t>
        </is>
      </c>
      <c r="D48" s="4" t="inlineStr"/>
      <c r="E48" s="4" t="inlineStr">
        <is>
          <t>Set to 1 only if you already know your true cost per transaction.</t>
        </is>
      </c>
    </row>
    <row r="49">
      <c r="A49" t="inlineStr">
        <is>
          <t>Manual buy cost per transaction</t>
        </is>
      </c>
      <c r="B49" s="22" t="n">
        <v>0</v>
      </c>
      <c r="C49" s="4" t="inlineStr">
        <is>
          <t>USD/txn</t>
        </is>
      </c>
      <c r="D49" s="4" t="inlineStr"/>
    </row>
    <row r="50">
      <c r="A50" t="inlineStr">
        <is>
          <t>Buy cost per transaction (in use)</t>
        </is>
      </c>
      <c r="B50" s="23">
        <f>IF(override_on=1,manual_buy_cost,c_buy_derived)</f>
        <v/>
      </c>
      <c r="C50" s="4" t="inlineStr">
        <is>
          <t>USD/txn</t>
        </is>
      </c>
      <c r="D50" s="4" t="inlineStr"/>
    </row>
    <row r="52">
      <c r="A52" s="5" t="inlineStr">
        <is>
          <t>FINANCIAL</t>
        </is>
      </c>
      <c r="B52" s="6" t="n"/>
      <c r="C52" s="6" t="n"/>
      <c r="D52" s="6" t="n"/>
      <c r="E52" s="6" t="n"/>
    </row>
    <row r="53">
      <c r="A53" t="inlineStr">
        <is>
          <t>Buy-side upfront cost</t>
        </is>
      </c>
      <c r="B53" s="16" t="n">
        <v>500</v>
      </c>
      <c r="C53" s="4" t="inlineStr">
        <is>
          <t>USD</t>
        </is>
      </c>
      <c r="D53" s="4" t="inlineStr"/>
    </row>
    <row r="54">
      <c r="A54" t="inlineStr">
        <is>
          <t>Discount rate</t>
        </is>
      </c>
      <c r="B54" s="25" t="n">
        <v>0.0934</v>
      </c>
      <c r="C54" s="4" t="inlineStr">
        <is>
          <t>annual</t>
        </is>
      </c>
      <c r="D54" s="4" t="inlineStr">
        <is>
          <t>A-04</t>
        </is>
      </c>
    </row>
    <row r="55">
      <c r="A55" t="inlineStr">
        <is>
          <t>Monthly discount rate</t>
        </is>
      </c>
      <c r="B55" s="27">
        <f>(1+disc_annual)^(1/12)-1</f>
        <v/>
      </c>
      <c r="C55" s="4" t="inlineStr">
        <is>
          <t>monthly</t>
        </is>
      </c>
      <c r="D55" s="4" t="inlineStr"/>
    </row>
    <row r="57">
      <c r="A57" s="5" t="inlineStr">
        <is>
          <t>DERIVED TOTALS</t>
        </is>
      </c>
      <c r="B57" s="6" t="n"/>
      <c r="C57" s="6" t="n"/>
      <c r="D57" s="6" t="n"/>
      <c r="E57" s="6" t="n"/>
    </row>
    <row r="58">
      <c r="A58" t="inlineStr">
        <is>
          <t>Annual wage bill</t>
        </is>
      </c>
      <c r="B58" s="28">
        <f>n_dev*wage_dev+n_pm*wage_pm</f>
        <v/>
      </c>
      <c r="C58" s="4" t="inlineStr">
        <is>
          <t>USD/year</t>
        </is>
      </c>
      <c r="D58" s="4" t="inlineStr"/>
    </row>
    <row r="59">
      <c r="A59" t="inlineStr">
        <is>
          <t>Loaded monthly labor</t>
        </is>
      </c>
      <c r="B59" s="28">
        <f>wage_bill*load_mult/12</f>
        <v/>
      </c>
      <c r="C59" s="4" t="inlineStr">
        <is>
          <t>USD/month</t>
        </is>
      </c>
      <c r="D59" s="4" t="inlineStr"/>
    </row>
    <row r="60">
      <c r="A60" t="inlineStr">
        <is>
          <t>Total build labor (overrun applied)</t>
        </is>
      </c>
      <c r="B60" s="28">
        <f>loaded_monthly*overrun_factor*build_months</f>
        <v/>
      </c>
      <c r="C60" s="4" t="inlineStr">
        <is>
          <t>USD</t>
        </is>
      </c>
      <c r="D60" s="4" t="inlineStr"/>
    </row>
    <row r="61">
      <c r="A61" t="inlineStr">
        <is>
          <t>Maintenance cost</t>
        </is>
      </c>
      <c r="B61" s="28">
        <f>maint_fte*maint_wage*load_mult/12</f>
        <v/>
      </c>
      <c r="C61" s="4" t="inlineStr">
        <is>
          <t>USD/month</t>
        </is>
      </c>
      <c r="D61" s="4" t="inlineStr"/>
    </row>
    <row r="62">
      <c r="A62" t="inlineStr">
        <is>
          <t>Build-side run cost</t>
        </is>
      </c>
      <c r="B62" s="29">
        <f>volume_mo*c_build</f>
        <v/>
      </c>
      <c r="C62" s="4" t="inlineStr">
        <is>
          <t>USD/month</t>
        </is>
      </c>
      <c r="D62" s="4" t="inlineStr"/>
    </row>
    <row r="63">
      <c r="A63" t="inlineStr">
        <is>
          <t>Buy-side run cost</t>
        </is>
      </c>
      <c r="B63" s="29">
        <f>volume_mo*c_buy_eff</f>
        <v/>
      </c>
      <c r="C63" s="4" t="inlineStr">
        <is>
          <t>USD/month</t>
        </is>
      </c>
      <c r="D63" s="4" t="inlineStr"/>
    </row>
  </sheetData>
  <mergeCells count="1">
    <mergeCell ref="B5:D5"/>
  </mergeCells>
  <conditionalFormatting sqref="B6">
    <cfRule type="cellIs" priority="1" operator="greaterThan" dxfId="0">
      <formula>horizon_months</formula>
    </cfRule>
  </conditionalFormatting>
  <dataValidations count="1">
    <dataValidation sqref="B38" showDropDown="0" showInputMessage="0" showErrorMessage="0" allowBlank="0" type="list">
      <formula1>"Claude Haiku 4.5,Claude Sonnet 5,Claude Opus 5,Claude Fable 5"</formula1>
    </dataValidation>
  </dataValidations>
  <printOptions horizontalCentered="0"/>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C66"/>
  <sheetViews>
    <sheetView workbookViewId="0">
      <selection activeCell="A1" sqref="A1"/>
    </sheetView>
  </sheetViews>
  <sheetFormatPr baseColWidth="8" defaultRowHeight="15"/>
  <cols>
    <col width="26" customWidth="1" min="1" max="1"/>
    <col width="20" customWidth="1" min="2" max="2"/>
    <col width="20" customWidth="1" min="3" max="3"/>
  </cols>
  <sheetData>
    <row r="1">
      <c r="A1" s="1" t="inlineStr">
        <is>
          <t>Charts</t>
        </is>
      </c>
    </row>
    <row r="2">
      <c r="A2" s="4" t="inlineStr">
        <is>
          <t>All three update live from the Inputs tab.</t>
        </is>
      </c>
    </row>
    <row r="60">
      <c r="A60" s="2" t="inlineStr">
        <is>
          <t>Cost stack at horizon</t>
        </is>
      </c>
    </row>
    <row r="61">
      <c r="A61" s="30" t="inlineStr">
        <is>
          <t>Component</t>
        </is>
      </c>
      <c r="B61" s="30" t="inlineStr">
        <is>
          <t>Build</t>
        </is>
      </c>
      <c r="C61" s="30" t="inlineStr">
        <is>
          <t>Buy</t>
        </is>
      </c>
    </row>
    <row r="62">
      <c r="A62" t="inlineStr">
        <is>
          <t>Labor</t>
        </is>
      </c>
      <c r="B62" s="31">
        <f>build_labor</f>
        <v/>
      </c>
      <c r="C62" s="31">
        <f>0</f>
        <v/>
      </c>
    </row>
    <row r="63">
      <c r="A63" t="inlineStr">
        <is>
          <t>Cost of delay</t>
        </is>
      </c>
      <c r="B63" s="31">
        <f>delay_cost_mo*build_months</f>
        <v/>
      </c>
      <c r="C63" s="31">
        <f>0</f>
        <v/>
      </c>
    </row>
    <row r="64">
      <c r="A64" t="inlineStr">
        <is>
          <t>Maintenance</t>
        </is>
      </c>
      <c r="B64" s="31">
        <f>maint_monthly*(horizon_months-build_months)</f>
        <v/>
      </c>
      <c r="C64" s="31">
        <f>0</f>
        <v/>
      </c>
    </row>
    <row r="65">
      <c r="A65" t="inlineStr">
        <is>
          <t>Run cost</t>
        </is>
      </c>
      <c r="B65" s="31">
        <f>volume_mo*c_build*(horizon_months-build_months)</f>
        <v/>
      </c>
      <c r="C65" s="31">
        <f>volume_mo*c_buy_eff*horizon_months</f>
        <v/>
      </c>
    </row>
    <row r="66">
      <c r="A66" t="inlineStr">
        <is>
          <t>Upfront</t>
        </is>
      </c>
      <c r="B66" s="31">
        <f>0</f>
        <v/>
      </c>
      <c r="C66" s="31">
        <f>upfront_buy</f>
        <v/>
      </c>
    </row>
  </sheetData>
  <printOptions horizontalCentered="0"/>
  <pageMargins left="0.75" right="0.75" top="1" bottom="1" header="0.5" footer="0.5"/>
  <pageSetup orientation="landscape" fitToHeight="0" fitToWidth="1"/>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H62"/>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8" customWidth="1" min="1" max="1"/>
    <col width="20" customWidth="1" min="2" max="2"/>
    <col width="20" customWidth="1" min="3" max="3"/>
    <col width="20" customWidth="1" min="4" max="4"/>
    <col width="20" customWidth="1" min="5" max="5"/>
    <col width="20" customWidth="1" min="6" max="6"/>
    <col width="20" customWidth="1" min="7" max="7"/>
    <col width="20" customWidth="1" min="8" max="8"/>
  </cols>
  <sheetData>
    <row r="1" ht="34" customHeight="1">
      <c r="A1" s="32" t="inlineStr">
        <is>
          <t>Month</t>
        </is>
      </c>
      <c r="B1" s="32" t="inlineStr">
        <is>
          <t>Build cumulative</t>
        </is>
      </c>
      <c r="C1" s="32" t="inlineStr">
        <is>
          <t>Buy cumulative (cheapest tier)</t>
        </is>
      </c>
      <c r="D1" s="32" t="inlineStr">
        <is>
          <t>Buy cumulative (your model)</t>
        </is>
      </c>
      <c r="E1" s="32" t="inlineStr">
        <is>
          <t>Buy cumulative (dearest tier)</t>
        </is>
      </c>
      <c r="F1" s="32" t="inlineStr">
        <is>
          <t>Discount factor</t>
        </is>
      </c>
      <c r="G1" s="32" t="inlineStr">
        <is>
          <t>Build cumulative NPV</t>
        </is>
      </c>
      <c r="H1" s="32" t="inlineStr">
        <is>
          <t>Buy cumulative NPV</t>
        </is>
      </c>
    </row>
    <row r="2">
      <c r="A2" t="n">
        <v>0</v>
      </c>
      <c r="B2" s="31">
        <f>IF(A2=0,0,IF(A2&lt;=build_months,(loaded_monthly*overrun_factor+delay_cost_mo)*A2,loaded_monthly*overrun_factor*build_months+delay_cost_mo*build_months+(maint_monthly+volume_mo*c_build)*(A2-build_months)))</f>
        <v/>
      </c>
      <c r="C2" s="31">
        <f>IF(A2=0,0,upfront_buy+volume_mo*c_buy_low*A2)</f>
        <v/>
      </c>
      <c r="D2" s="31">
        <f>IF(A2=0,0,upfront_buy+volume_mo*c_buy_eff*A2)</f>
        <v/>
      </c>
      <c r="E2" s="31">
        <f>IF(A2=0,0,upfront_buy+volume_mo*c_buy_high*A2)</f>
        <v/>
      </c>
      <c r="F2" s="33">
        <f>1/(1+disc_monthly)^A2</f>
        <v/>
      </c>
      <c r="G2" s="31" t="n">
        <v>0</v>
      </c>
      <c r="H2" s="31" t="n">
        <v>0</v>
      </c>
    </row>
    <row r="3">
      <c r="A3" t="n">
        <v>1</v>
      </c>
      <c r="B3" s="31">
        <f>IF(A3=0,0,IF(A3&lt;=build_months,(loaded_monthly*overrun_factor+delay_cost_mo)*A3,loaded_monthly*overrun_factor*build_months+delay_cost_mo*build_months+(maint_monthly+volume_mo*c_build)*(A3-build_months)))</f>
        <v/>
      </c>
      <c r="C3" s="31">
        <f>IF(A3=0,0,upfront_buy+volume_mo*c_buy_low*A3)</f>
        <v/>
      </c>
      <c r="D3" s="31">
        <f>IF(A3=0,0,upfront_buy+volume_mo*c_buy_eff*A3)</f>
        <v/>
      </c>
      <c r="E3" s="31">
        <f>IF(A3=0,0,upfront_buy+volume_mo*c_buy_high*A3)</f>
        <v/>
      </c>
      <c r="F3" s="33">
        <f>1/(1+disc_monthly)^A3</f>
        <v/>
      </c>
      <c r="G3" s="31">
        <f>G2+(B3-B2)*F3</f>
        <v/>
      </c>
      <c r="H3" s="31">
        <f>H2+(D3-D2)*F3</f>
        <v/>
      </c>
    </row>
    <row r="4">
      <c r="A4" t="n">
        <v>2</v>
      </c>
      <c r="B4" s="31">
        <f>IF(A4=0,0,IF(A4&lt;=build_months,(loaded_monthly*overrun_factor+delay_cost_mo)*A4,loaded_monthly*overrun_factor*build_months+delay_cost_mo*build_months+(maint_monthly+volume_mo*c_build)*(A4-build_months)))</f>
        <v/>
      </c>
      <c r="C4" s="31">
        <f>IF(A4=0,0,upfront_buy+volume_mo*c_buy_low*A4)</f>
        <v/>
      </c>
      <c r="D4" s="31">
        <f>IF(A4=0,0,upfront_buy+volume_mo*c_buy_eff*A4)</f>
        <v/>
      </c>
      <c r="E4" s="31">
        <f>IF(A4=0,0,upfront_buy+volume_mo*c_buy_high*A4)</f>
        <v/>
      </c>
      <c r="F4" s="33">
        <f>1/(1+disc_monthly)^A4</f>
        <v/>
      </c>
      <c r="G4" s="31">
        <f>G3+(B4-B3)*F4</f>
        <v/>
      </c>
      <c r="H4" s="31">
        <f>H3+(D4-D3)*F4</f>
        <v/>
      </c>
    </row>
    <row r="5">
      <c r="A5" t="n">
        <v>3</v>
      </c>
      <c r="B5" s="31">
        <f>IF(A5=0,0,IF(A5&lt;=build_months,(loaded_monthly*overrun_factor+delay_cost_mo)*A5,loaded_monthly*overrun_factor*build_months+delay_cost_mo*build_months+(maint_monthly+volume_mo*c_build)*(A5-build_months)))</f>
        <v/>
      </c>
      <c r="C5" s="31">
        <f>IF(A5=0,0,upfront_buy+volume_mo*c_buy_low*A5)</f>
        <v/>
      </c>
      <c r="D5" s="31">
        <f>IF(A5=0,0,upfront_buy+volume_mo*c_buy_eff*A5)</f>
        <v/>
      </c>
      <c r="E5" s="31">
        <f>IF(A5=0,0,upfront_buy+volume_mo*c_buy_high*A5)</f>
        <v/>
      </c>
      <c r="F5" s="33">
        <f>1/(1+disc_monthly)^A5</f>
        <v/>
      </c>
      <c r="G5" s="31">
        <f>G4+(B5-B4)*F5</f>
        <v/>
      </c>
      <c r="H5" s="31">
        <f>H4+(D5-D4)*F5</f>
        <v/>
      </c>
    </row>
    <row r="6">
      <c r="A6" t="n">
        <v>4</v>
      </c>
      <c r="B6" s="31">
        <f>IF(A6=0,0,IF(A6&lt;=build_months,(loaded_monthly*overrun_factor+delay_cost_mo)*A6,loaded_monthly*overrun_factor*build_months+delay_cost_mo*build_months+(maint_monthly+volume_mo*c_build)*(A6-build_months)))</f>
        <v/>
      </c>
      <c r="C6" s="31">
        <f>IF(A6=0,0,upfront_buy+volume_mo*c_buy_low*A6)</f>
        <v/>
      </c>
      <c r="D6" s="31">
        <f>IF(A6=0,0,upfront_buy+volume_mo*c_buy_eff*A6)</f>
        <v/>
      </c>
      <c r="E6" s="31">
        <f>IF(A6=0,0,upfront_buy+volume_mo*c_buy_high*A6)</f>
        <v/>
      </c>
      <c r="F6" s="33">
        <f>1/(1+disc_monthly)^A6</f>
        <v/>
      </c>
      <c r="G6" s="31">
        <f>G5+(B6-B5)*F6</f>
        <v/>
      </c>
      <c r="H6" s="31">
        <f>H5+(D6-D5)*F6</f>
        <v/>
      </c>
    </row>
    <row r="7">
      <c r="A7" t="n">
        <v>5</v>
      </c>
      <c r="B7" s="31">
        <f>IF(A7=0,0,IF(A7&lt;=build_months,(loaded_monthly*overrun_factor+delay_cost_mo)*A7,loaded_monthly*overrun_factor*build_months+delay_cost_mo*build_months+(maint_monthly+volume_mo*c_build)*(A7-build_months)))</f>
        <v/>
      </c>
      <c r="C7" s="31">
        <f>IF(A7=0,0,upfront_buy+volume_mo*c_buy_low*A7)</f>
        <v/>
      </c>
      <c r="D7" s="31">
        <f>IF(A7=0,0,upfront_buy+volume_mo*c_buy_eff*A7)</f>
        <v/>
      </c>
      <c r="E7" s="31">
        <f>IF(A7=0,0,upfront_buy+volume_mo*c_buy_high*A7)</f>
        <v/>
      </c>
      <c r="F7" s="33">
        <f>1/(1+disc_monthly)^A7</f>
        <v/>
      </c>
      <c r="G7" s="31">
        <f>G6+(B7-B6)*F7</f>
        <v/>
      </c>
      <c r="H7" s="31">
        <f>H6+(D7-D6)*F7</f>
        <v/>
      </c>
    </row>
    <row r="8">
      <c r="A8" t="n">
        <v>6</v>
      </c>
      <c r="B8" s="31">
        <f>IF(A8=0,0,IF(A8&lt;=build_months,(loaded_monthly*overrun_factor+delay_cost_mo)*A8,loaded_monthly*overrun_factor*build_months+delay_cost_mo*build_months+(maint_monthly+volume_mo*c_build)*(A8-build_months)))</f>
        <v/>
      </c>
      <c r="C8" s="31">
        <f>IF(A8=0,0,upfront_buy+volume_mo*c_buy_low*A8)</f>
        <v/>
      </c>
      <c r="D8" s="31">
        <f>IF(A8=0,0,upfront_buy+volume_mo*c_buy_eff*A8)</f>
        <v/>
      </c>
      <c r="E8" s="31">
        <f>IF(A8=0,0,upfront_buy+volume_mo*c_buy_high*A8)</f>
        <v/>
      </c>
      <c r="F8" s="33">
        <f>1/(1+disc_monthly)^A8</f>
        <v/>
      </c>
      <c r="G8" s="31">
        <f>G7+(B8-B7)*F8</f>
        <v/>
      </c>
      <c r="H8" s="31">
        <f>H7+(D8-D7)*F8</f>
        <v/>
      </c>
    </row>
    <row r="9">
      <c r="A9" t="n">
        <v>7</v>
      </c>
      <c r="B9" s="31">
        <f>IF(A9=0,0,IF(A9&lt;=build_months,(loaded_monthly*overrun_factor+delay_cost_mo)*A9,loaded_monthly*overrun_factor*build_months+delay_cost_mo*build_months+(maint_monthly+volume_mo*c_build)*(A9-build_months)))</f>
        <v/>
      </c>
      <c r="C9" s="31">
        <f>IF(A9=0,0,upfront_buy+volume_mo*c_buy_low*A9)</f>
        <v/>
      </c>
      <c r="D9" s="31">
        <f>IF(A9=0,0,upfront_buy+volume_mo*c_buy_eff*A9)</f>
        <v/>
      </c>
      <c r="E9" s="31">
        <f>IF(A9=0,0,upfront_buy+volume_mo*c_buy_high*A9)</f>
        <v/>
      </c>
      <c r="F9" s="33">
        <f>1/(1+disc_monthly)^A9</f>
        <v/>
      </c>
      <c r="G9" s="31">
        <f>G8+(B9-B8)*F9</f>
        <v/>
      </c>
      <c r="H9" s="31">
        <f>H8+(D9-D8)*F9</f>
        <v/>
      </c>
    </row>
    <row r="10">
      <c r="A10" t="n">
        <v>8</v>
      </c>
      <c r="B10" s="31">
        <f>IF(A10=0,0,IF(A10&lt;=build_months,(loaded_monthly*overrun_factor+delay_cost_mo)*A10,loaded_monthly*overrun_factor*build_months+delay_cost_mo*build_months+(maint_monthly+volume_mo*c_build)*(A10-build_months)))</f>
        <v/>
      </c>
      <c r="C10" s="31">
        <f>IF(A10=0,0,upfront_buy+volume_mo*c_buy_low*A10)</f>
        <v/>
      </c>
      <c r="D10" s="31">
        <f>IF(A10=0,0,upfront_buy+volume_mo*c_buy_eff*A10)</f>
        <v/>
      </c>
      <c r="E10" s="31">
        <f>IF(A10=0,0,upfront_buy+volume_mo*c_buy_high*A10)</f>
        <v/>
      </c>
      <c r="F10" s="33">
        <f>1/(1+disc_monthly)^A10</f>
        <v/>
      </c>
      <c r="G10" s="31">
        <f>G9+(B10-B9)*F10</f>
        <v/>
      </c>
      <c r="H10" s="31">
        <f>H9+(D10-D9)*F10</f>
        <v/>
      </c>
    </row>
    <row r="11">
      <c r="A11" t="n">
        <v>9</v>
      </c>
      <c r="B11" s="31">
        <f>IF(A11=0,0,IF(A11&lt;=build_months,(loaded_monthly*overrun_factor+delay_cost_mo)*A11,loaded_monthly*overrun_factor*build_months+delay_cost_mo*build_months+(maint_monthly+volume_mo*c_build)*(A11-build_months)))</f>
        <v/>
      </c>
      <c r="C11" s="31">
        <f>IF(A11=0,0,upfront_buy+volume_mo*c_buy_low*A11)</f>
        <v/>
      </c>
      <c r="D11" s="31">
        <f>IF(A11=0,0,upfront_buy+volume_mo*c_buy_eff*A11)</f>
        <v/>
      </c>
      <c r="E11" s="31">
        <f>IF(A11=0,0,upfront_buy+volume_mo*c_buy_high*A11)</f>
        <v/>
      </c>
      <c r="F11" s="33">
        <f>1/(1+disc_monthly)^A11</f>
        <v/>
      </c>
      <c r="G11" s="31">
        <f>G10+(B11-B10)*F11</f>
        <v/>
      </c>
      <c r="H11" s="31">
        <f>H10+(D11-D10)*F11</f>
        <v/>
      </c>
    </row>
    <row r="12">
      <c r="A12" t="n">
        <v>10</v>
      </c>
      <c r="B12" s="31">
        <f>IF(A12=0,0,IF(A12&lt;=build_months,(loaded_monthly*overrun_factor+delay_cost_mo)*A12,loaded_monthly*overrun_factor*build_months+delay_cost_mo*build_months+(maint_monthly+volume_mo*c_build)*(A12-build_months)))</f>
        <v/>
      </c>
      <c r="C12" s="31">
        <f>IF(A12=0,0,upfront_buy+volume_mo*c_buy_low*A12)</f>
        <v/>
      </c>
      <c r="D12" s="31">
        <f>IF(A12=0,0,upfront_buy+volume_mo*c_buy_eff*A12)</f>
        <v/>
      </c>
      <c r="E12" s="31">
        <f>IF(A12=0,0,upfront_buy+volume_mo*c_buy_high*A12)</f>
        <v/>
      </c>
      <c r="F12" s="33">
        <f>1/(1+disc_monthly)^A12</f>
        <v/>
      </c>
      <c r="G12" s="31">
        <f>G11+(B12-B11)*F12</f>
        <v/>
      </c>
      <c r="H12" s="31">
        <f>H11+(D12-D11)*F12</f>
        <v/>
      </c>
    </row>
    <row r="13">
      <c r="A13" t="n">
        <v>11</v>
      </c>
      <c r="B13" s="31">
        <f>IF(A13=0,0,IF(A13&lt;=build_months,(loaded_monthly*overrun_factor+delay_cost_mo)*A13,loaded_monthly*overrun_factor*build_months+delay_cost_mo*build_months+(maint_monthly+volume_mo*c_build)*(A13-build_months)))</f>
        <v/>
      </c>
      <c r="C13" s="31">
        <f>IF(A13=0,0,upfront_buy+volume_mo*c_buy_low*A13)</f>
        <v/>
      </c>
      <c r="D13" s="31">
        <f>IF(A13=0,0,upfront_buy+volume_mo*c_buy_eff*A13)</f>
        <v/>
      </c>
      <c r="E13" s="31">
        <f>IF(A13=0,0,upfront_buy+volume_mo*c_buy_high*A13)</f>
        <v/>
      </c>
      <c r="F13" s="33">
        <f>1/(1+disc_monthly)^A13</f>
        <v/>
      </c>
      <c r="G13" s="31">
        <f>G12+(B13-B12)*F13</f>
        <v/>
      </c>
      <c r="H13" s="31">
        <f>H12+(D13-D12)*F13</f>
        <v/>
      </c>
    </row>
    <row r="14">
      <c r="A14" t="n">
        <v>12</v>
      </c>
      <c r="B14" s="31">
        <f>IF(A14=0,0,IF(A14&lt;=build_months,(loaded_monthly*overrun_factor+delay_cost_mo)*A14,loaded_monthly*overrun_factor*build_months+delay_cost_mo*build_months+(maint_monthly+volume_mo*c_build)*(A14-build_months)))</f>
        <v/>
      </c>
      <c r="C14" s="31">
        <f>IF(A14=0,0,upfront_buy+volume_mo*c_buy_low*A14)</f>
        <v/>
      </c>
      <c r="D14" s="31">
        <f>IF(A14=0,0,upfront_buy+volume_mo*c_buy_eff*A14)</f>
        <v/>
      </c>
      <c r="E14" s="31">
        <f>IF(A14=0,0,upfront_buy+volume_mo*c_buy_high*A14)</f>
        <v/>
      </c>
      <c r="F14" s="33">
        <f>1/(1+disc_monthly)^A14</f>
        <v/>
      </c>
      <c r="G14" s="31">
        <f>G13+(B14-B13)*F14</f>
        <v/>
      </c>
      <c r="H14" s="31">
        <f>H13+(D14-D13)*F14</f>
        <v/>
      </c>
    </row>
    <row r="15">
      <c r="A15" t="n">
        <v>13</v>
      </c>
      <c r="B15" s="31">
        <f>IF(A15=0,0,IF(A15&lt;=build_months,(loaded_monthly*overrun_factor+delay_cost_mo)*A15,loaded_monthly*overrun_factor*build_months+delay_cost_mo*build_months+(maint_monthly+volume_mo*c_build)*(A15-build_months)))</f>
        <v/>
      </c>
      <c r="C15" s="31">
        <f>IF(A15=0,0,upfront_buy+volume_mo*c_buy_low*A15)</f>
        <v/>
      </c>
      <c r="D15" s="31">
        <f>IF(A15=0,0,upfront_buy+volume_mo*c_buy_eff*A15)</f>
        <v/>
      </c>
      <c r="E15" s="31">
        <f>IF(A15=0,0,upfront_buy+volume_mo*c_buy_high*A15)</f>
        <v/>
      </c>
      <c r="F15" s="33">
        <f>1/(1+disc_monthly)^A15</f>
        <v/>
      </c>
      <c r="G15" s="31">
        <f>G14+(B15-B14)*F15</f>
        <v/>
      </c>
      <c r="H15" s="31">
        <f>H14+(D15-D14)*F15</f>
        <v/>
      </c>
    </row>
    <row r="16">
      <c r="A16" t="n">
        <v>14</v>
      </c>
      <c r="B16" s="31">
        <f>IF(A16=0,0,IF(A16&lt;=build_months,(loaded_monthly*overrun_factor+delay_cost_mo)*A16,loaded_monthly*overrun_factor*build_months+delay_cost_mo*build_months+(maint_monthly+volume_mo*c_build)*(A16-build_months)))</f>
        <v/>
      </c>
      <c r="C16" s="31">
        <f>IF(A16=0,0,upfront_buy+volume_mo*c_buy_low*A16)</f>
        <v/>
      </c>
      <c r="D16" s="31">
        <f>IF(A16=0,0,upfront_buy+volume_mo*c_buy_eff*A16)</f>
        <v/>
      </c>
      <c r="E16" s="31">
        <f>IF(A16=0,0,upfront_buy+volume_mo*c_buy_high*A16)</f>
        <v/>
      </c>
      <c r="F16" s="33">
        <f>1/(1+disc_monthly)^A16</f>
        <v/>
      </c>
      <c r="G16" s="31">
        <f>G15+(B16-B15)*F16</f>
        <v/>
      </c>
      <c r="H16" s="31">
        <f>H15+(D16-D15)*F16</f>
        <v/>
      </c>
    </row>
    <row r="17">
      <c r="A17" t="n">
        <v>15</v>
      </c>
      <c r="B17" s="31">
        <f>IF(A17=0,0,IF(A17&lt;=build_months,(loaded_monthly*overrun_factor+delay_cost_mo)*A17,loaded_monthly*overrun_factor*build_months+delay_cost_mo*build_months+(maint_monthly+volume_mo*c_build)*(A17-build_months)))</f>
        <v/>
      </c>
      <c r="C17" s="31">
        <f>IF(A17=0,0,upfront_buy+volume_mo*c_buy_low*A17)</f>
        <v/>
      </c>
      <c r="D17" s="31">
        <f>IF(A17=0,0,upfront_buy+volume_mo*c_buy_eff*A17)</f>
        <v/>
      </c>
      <c r="E17" s="31">
        <f>IF(A17=0,0,upfront_buy+volume_mo*c_buy_high*A17)</f>
        <v/>
      </c>
      <c r="F17" s="33">
        <f>1/(1+disc_monthly)^A17</f>
        <v/>
      </c>
      <c r="G17" s="31">
        <f>G16+(B17-B16)*F17</f>
        <v/>
      </c>
      <c r="H17" s="31">
        <f>H16+(D17-D16)*F17</f>
        <v/>
      </c>
    </row>
    <row r="18">
      <c r="A18" t="n">
        <v>16</v>
      </c>
      <c r="B18" s="31">
        <f>IF(A18=0,0,IF(A18&lt;=build_months,(loaded_monthly*overrun_factor+delay_cost_mo)*A18,loaded_monthly*overrun_factor*build_months+delay_cost_mo*build_months+(maint_monthly+volume_mo*c_build)*(A18-build_months)))</f>
        <v/>
      </c>
      <c r="C18" s="31">
        <f>IF(A18=0,0,upfront_buy+volume_mo*c_buy_low*A18)</f>
        <v/>
      </c>
      <c r="D18" s="31">
        <f>IF(A18=0,0,upfront_buy+volume_mo*c_buy_eff*A18)</f>
        <v/>
      </c>
      <c r="E18" s="31">
        <f>IF(A18=0,0,upfront_buy+volume_mo*c_buy_high*A18)</f>
        <v/>
      </c>
      <c r="F18" s="33">
        <f>1/(1+disc_monthly)^A18</f>
        <v/>
      </c>
      <c r="G18" s="31">
        <f>G17+(B18-B17)*F18</f>
        <v/>
      </c>
      <c r="H18" s="31">
        <f>H17+(D18-D17)*F18</f>
        <v/>
      </c>
    </row>
    <row r="19">
      <c r="A19" t="n">
        <v>17</v>
      </c>
      <c r="B19" s="31">
        <f>IF(A19=0,0,IF(A19&lt;=build_months,(loaded_monthly*overrun_factor+delay_cost_mo)*A19,loaded_monthly*overrun_factor*build_months+delay_cost_mo*build_months+(maint_monthly+volume_mo*c_build)*(A19-build_months)))</f>
        <v/>
      </c>
      <c r="C19" s="31">
        <f>IF(A19=0,0,upfront_buy+volume_mo*c_buy_low*A19)</f>
        <v/>
      </c>
      <c r="D19" s="31">
        <f>IF(A19=0,0,upfront_buy+volume_mo*c_buy_eff*A19)</f>
        <v/>
      </c>
      <c r="E19" s="31">
        <f>IF(A19=0,0,upfront_buy+volume_mo*c_buy_high*A19)</f>
        <v/>
      </c>
      <c r="F19" s="33">
        <f>1/(1+disc_monthly)^A19</f>
        <v/>
      </c>
      <c r="G19" s="31">
        <f>G18+(B19-B18)*F19</f>
        <v/>
      </c>
      <c r="H19" s="31">
        <f>H18+(D19-D18)*F19</f>
        <v/>
      </c>
    </row>
    <row r="20">
      <c r="A20" t="n">
        <v>18</v>
      </c>
      <c r="B20" s="31">
        <f>IF(A20=0,0,IF(A20&lt;=build_months,(loaded_monthly*overrun_factor+delay_cost_mo)*A20,loaded_monthly*overrun_factor*build_months+delay_cost_mo*build_months+(maint_monthly+volume_mo*c_build)*(A20-build_months)))</f>
        <v/>
      </c>
      <c r="C20" s="31">
        <f>IF(A20=0,0,upfront_buy+volume_mo*c_buy_low*A20)</f>
        <v/>
      </c>
      <c r="D20" s="31">
        <f>IF(A20=0,0,upfront_buy+volume_mo*c_buy_eff*A20)</f>
        <v/>
      </c>
      <c r="E20" s="31">
        <f>IF(A20=0,0,upfront_buy+volume_mo*c_buy_high*A20)</f>
        <v/>
      </c>
      <c r="F20" s="33">
        <f>1/(1+disc_monthly)^A20</f>
        <v/>
      </c>
      <c r="G20" s="31">
        <f>G19+(B20-B19)*F20</f>
        <v/>
      </c>
      <c r="H20" s="31">
        <f>H19+(D20-D19)*F20</f>
        <v/>
      </c>
    </row>
    <row r="21">
      <c r="A21" t="n">
        <v>19</v>
      </c>
      <c r="B21" s="31">
        <f>IF(A21=0,0,IF(A21&lt;=build_months,(loaded_monthly*overrun_factor+delay_cost_mo)*A21,loaded_monthly*overrun_factor*build_months+delay_cost_mo*build_months+(maint_monthly+volume_mo*c_build)*(A21-build_months)))</f>
        <v/>
      </c>
      <c r="C21" s="31">
        <f>IF(A21=0,0,upfront_buy+volume_mo*c_buy_low*A21)</f>
        <v/>
      </c>
      <c r="D21" s="31">
        <f>IF(A21=0,0,upfront_buy+volume_mo*c_buy_eff*A21)</f>
        <v/>
      </c>
      <c r="E21" s="31">
        <f>IF(A21=0,0,upfront_buy+volume_mo*c_buy_high*A21)</f>
        <v/>
      </c>
      <c r="F21" s="33">
        <f>1/(1+disc_monthly)^A21</f>
        <v/>
      </c>
      <c r="G21" s="31">
        <f>G20+(B21-B20)*F21</f>
        <v/>
      </c>
      <c r="H21" s="31">
        <f>H20+(D21-D20)*F21</f>
        <v/>
      </c>
    </row>
    <row r="22">
      <c r="A22" t="n">
        <v>20</v>
      </c>
      <c r="B22" s="31">
        <f>IF(A22=0,0,IF(A22&lt;=build_months,(loaded_monthly*overrun_factor+delay_cost_mo)*A22,loaded_monthly*overrun_factor*build_months+delay_cost_mo*build_months+(maint_monthly+volume_mo*c_build)*(A22-build_months)))</f>
        <v/>
      </c>
      <c r="C22" s="31">
        <f>IF(A22=0,0,upfront_buy+volume_mo*c_buy_low*A22)</f>
        <v/>
      </c>
      <c r="D22" s="31">
        <f>IF(A22=0,0,upfront_buy+volume_mo*c_buy_eff*A22)</f>
        <v/>
      </c>
      <c r="E22" s="31">
        <f>IF(A22=0,0,upfront_buy+volume_mo*c_buy_high*A22)</f>
        <v/>
      </c>
      <c r="F22" s="33">
        <f>1/(1+disc_monthly)^A22</f>
        <v/>
      </c>
      <c r="G22" s="31">
        <f>G21+(B22-B21)*F22</f>
        <v/>
      </c>
      <c r="H22" s="31">
        <f>H21+(D22-D21)*F22</f>
        <v/>
      </c>
    </row>
    <row r="23">
      <c r="A23" t="n">
        <v>21</v>
      </c>
      <c r="B23" s="31">
        <f>IF(A23=0,0,IF(A23&lt;=build_months,(loaded_monthly*overrun_factor+delay_cost_mo)*A23,loaded_monthly*overrun_factor*build_months+delay_cost_mo*build_months+(maint_monthly+volume_mo*c_build)*(A23-build_months)))</f>
        <v/>
      </c>
      <c r="C23" s="31">
        <f>IF(A23=0,0,upfront_buy+volume_mo*c_buy_low*A23)</f>
        <v/>
      </c>
      <c r="D23" s="31">
        <f>IF(A23=0,0,upfront_buy+volume_mo*c_buy_eff*A23)</f>
        <v/>
      </c>
      <c r="E23" s="31">
        <f>IF(A23=0,0,upfront_buy+volume_mo*c_buy_high*A23)</f>
        <v/>
      </c>
      <c r="F23" s="33">
        <f>1/(1+disc_monthly)^A23</f>
        <v/>
      </c>
      <c r="G23" s="31">
        <f>G22+(B23-B22)*F23</f>
        <v/>
      </c>
      <c r="H23" s="31">
        <f>H22+(D23-D22)*F23</f>
        <v/>
      </c>
    </row>
    <row r="24">
      <c r="A24" t="n">
        <v>22</v>
      </c>
      <c r="B24" s="31">
        <f>IF(A24=0,0,IF(A24&lt;=build_months,(loaded_monthly*overrun_factor+delay_cost_mo)*A24,loaded_monthly*overrun_factor*build_months+delay_cost_mo*build_months+(maint_monthly+volume_mo*c_build)*(A24-build_months)))</f>
        <v/>
      </c>
      <c r="C24" s="31">
        <f>IF(A24=0,0,upfront_buy+volume_mo*c_buy_low*A24)</f>
        <v/>
      </c>
      <c r="D24" s="31">
        <f>IF(A24=0,0,upfront_buy+volume_mo*c_buy_eff*A24)</f>
        <v/>
      </c>
      <c r="E24" s="31">
        <f>IF(A24=0,0,upfront_buy+volume_mo*c_buy_high*A24)</f>
        <v/>
      </c>
      <c r="F24" s="33">
        <f>1/(1+disc_monthly)^A24</f>
        <v/>
      </c>
      <c r="G24" s="31">
        <f>G23+(B24-B23)*F24</f>
        <v/>
      </c>
      <c r="H24" s="31">
        <f>H23+(D24-D23)*F24</f>
        <v/>
      </c>
    </row>
    <row r="25">
      <c r="A25" t="n">
        <v>23</v>
      </c>
      <c r="B25" s="31">
        <f>IF(A25=0,0,IF(A25&lt;=build_months,(loaded_monthly*overrun_factor+delay_cost_mo)*A25,loaded_monthly*overrun_factor*build_months+delay_cost_mo*build_months+(maint_monthly+volume_mo*c_build)*(A25-build_months)))</f>
        <v/>
      </c>
      <c r="C25" s="31">
        <f>IF(A25=0,0,upfront_buy+volume_mo*c_buy_low*A25)</f>
        <v/>
      </c>
      <c r="D25" s="31">
        <f>IF(A25=0,0,upfront_buy+volume_mo*c_buy_eff*A25)</f>
        <v/>
      </c>
      <c r="E25" s="31">
        <f>IF(A25=0,0,upfront_buy+volume_mo*c_buy_high*A25)</f>
        <v/>
      </c>
      <c r="F25" s="33">
        <f>1/(1+disc_monthly)^A25</f>
        <v/>
      </c>
      <c r="G25" s="31">
        <f>G24+(B25-B24)*F25</f>
        <v/>
      </c>
      <c r="H25" s="31">
        <f>H24+(D25-D24)*F25</f>
        <v/>
      </c>
    </row>
    <row r="26">
      <c r="A26" t="n">
        <v>24</v>
      </c>
      <c r="B26" s="31">
        <f>IF(A26=0,0,IF(A26&lt;=build_months,(loaded_monthly*overrun_factor+delay_cost_mo)*A26,loaded_monthly*overrun_factor*build_months+delay_cost_mo*build_months+(maint_monthly+volume_mo*c_build)*(A26-build_months)))</f>
        <v/>
      </c>
      <c r="C26" s="31">
        <f>IF(A26=0,0,upfront_buy+volume_mo*c_buy_low*A26)</f>
        <v/>
      </c>
      <c r="D26" s="31">
        <f>IF(A26=0,0,upfront_buy+volume_mo*c_buy_eff*A26)</f>
        <v/>
      </c>
      <c r="E26" s="31">
        <f>IF(A26=0,0,upfront_buy+volume_mo*c_buy_high*A26)</f>
        <v/>
      </c>
      <c r="F26" s="33">
        <f>1/(1+disc_monthly)^A26</f>
        <v/>
      </c>
      <c r="G26" s="31">
        <f>G25+(B26-B25)*F26</f>
        <v/>
      </c>
      <c r="H26" s="31">
        <f>H25+(D26-D25)*F26</f>
        <v/>
      </c>
    </row>
    <row r="27">
      <c r="A27" t="n">
        <v>25</v>
      </c>
      <c r="B27" s="31">
        <f>IF(A27=0,0,IF(A27&lt;=build_months,(loaded_monthly*overrun_factor+delay_cost_mo)*A27,loaded_monthly*overrun_factor*build_months+delay_cost_mo*build_months+(maint_monthly+volume_mo*c_build)*(A27-build_months)))</f>
        <v/>
      </c>
      <c r="C27" s="31">
        <f>IF(A27=0,0,upfront_buy+volume_mo*c_buy_low*A27)</f>
        <v/>
      </c>
      <c r="D27" s="31">
        <f>IF(A27=0,0,upfront_buy+volume_mo*c_buy_eff*A27)</f>
        <v/>
      </c>
      <c r="E27" s="31">
        <f>IF(A27=0,0,upfront_buy+volume_mo*c_buy_high*A27)</f>
        <v/>
      </c>
      <c r="F27" s="33">
        <f>1/(1+disc_monthly)^A27</f>
        <v/>
      </c>
      <c r="G27" s="31">
        <f>G26+(B27-B26)*F27</f>
        <v/>
      </c>
      <c r="H27" s="31">
        <f>H26+(D27-D26)*F27</f>
        <v/>
      </c>
    </row>
    <row r="28">
      <c r="A28" t="n">
        <v>26</v>
      </c>
      <c r="B28" s="31">
        <f>IF(A28=0,0,IF(A28&lt;=build_months,(loaded_monthly*overrun_factor+delay_cost_mo)*A28,loaded_monthly*overrun_factor*build_months+delay_cost_mo*build_months+(maint_monthly+volume_mo*c_build)*(A28-build_months)))</f>
        <v/>
      </c>
      <c r="C28" s="31">
        <f>IF(A28=0,0,upfront_buy+volume_mo*c_buy_low*A28)</f>
        <v/>
      </c>
      <c r="D28" s="31">
        <f>IF(A28=0,0,upfront_buy+volume_mo*c_buy_eff*A28)</f>
        <v/>
      </c>
      <c r="E28" s="31">
        <f>IF(A28=0,0,upfront_buy+volume_mo*c_buy_high*A28)</f>
        <v/>
      </c>
      <c r="F28" s="33">
        <f>1/(1+disc_monthly)^A28</f>
        <v/>
      </c>
      <c r="G28" s="31">
        <f>G27+(B28-B27)*F28</f>
        <v/>
      </c>
      <c r="H28" s="31">
        <f>H27+(D28-D27)*F28</f>
        <v/>
      </c>
    </row>
    <row r="29">
      <c r="A29" t="n">
        <v>27</v>
      </c>
      <c r="B29" s="31">
        <f>IF(A29=0,0,IF(A29&lt;=build_months,(loaded_monthly*overrun_factor+delay_cost_mo)*A29,loaded_monthly*overrun_factor*build_months+delay_cost_mo*build_months+(maint_monthly+volume_mo*c_build)*(A29-build_months)))</f>
        <v/>
      </c>
      <c r="C29" s="31">
        <f>IF(A29=0,0,upfront_buy+volume_mo*c_buy_low*A29)</f>
        <v/>
      </c>
      <c r="D29" s="31">
        <f>IF(A29=0,0,upfront_buy+volume_mo*c_buy_eff*A29)</f>
        <v/>
      </c>
      <c r="E29" s="31">
        <f>IF(A29=0,0,upfront_buy+volume_mo*c_buy_high*A29)</f>
        <v/>
      </c>
      <c r="F29" s="33">
        <f>1/(1+disc_monthly)^A29</f>
        <v/>
      </c>
      <c r="G29" s="31">
        <f>G28+(B29-B28)*F29</f>
        <v/>
      </c>
      <c r="H29" s="31">
        <f>H28+(D29-D28)*F29</f>
        <v/>
      </c>
    </row>
    <row r="30">
      <c r="A30" t="n">
        <v>28</v>
      </c>
      <c r="B30" s="31">
        <f>IF(A30=0,0,IF(A30&lt;=build_months,(loaded_monthly*overrun_factor+delay_cost_mo)*A30,loaded_monthly*overrun_factor*build_months+delay_cost_mo*build_months+(maint_monthly+volume_mo*c_build)*(A30-build_months)))</f>
        <v/>
      </c>
      <c r="C30" s="31">
        <f>IF(A30=0,0,upfront_buy+volume_mo*c_buy_low*A30)</f>
        <v/>
      </c>
      <c r="D30" s="31">
        <f>IF(A30=0,0,upfront_buy+volume_mo*c_buy_eff*A30)</f>
        <v/>
      </c>
      <c r="E30" s="31">
        <f>IF(A30=0,0,upfront_buy+volume_mo*c_buy_high*A30)</f>
        <v/>
      </c>
      <c r="F30" s="33">
        <f>1/(1+disc_monthly)^A30</f>
        <v/>
      </c>
      <c r="G30" s="31">
        <f>G29+(B30-B29)*F30</f>
        <v/>
      </c>
      <c r="H30" s="31">
        <f>H29+(D30-D29)*F30</f>
        <v/>
      </c>
    </row>
    <row r="31">
      <c r="A31" t="n">
        <v>29</v>
      </c>
      <c r="B31" s="31">
        <f>IF(A31=0,0,IF(A31&lt;=build_months,(loaded_monthly*overrun_factor+delay_cost_mo)*A31,loaded_monthly*overrun_factor*build_months+delay_cost_mo*build_months+(maint_monthly+volume_mo*c_build)*(A31-build_months)))</f>
        <v/>
      </c>
      <c r="C31" s="31">
        <f>IF(A31=0,0,upfront_buy+volume_mo*c_buy_low*A31)</f>
        <v/>
      </c>
      <c r="D31" s="31">
        <f>IF(A31=0,0,upfront_buy+volume_mo*c_buy_eff*A31)</f>
        <v/>
      </c>
      <c r="E31" s="31">
        <f>IF(A31=0,0,upfront_buy+volume_mo*c_buy_high*A31)</f>
        <v/>
      </c>
      <c r="F31" s="33">
        <f>1/(1+disc_monthly)^A31</f>
        <v/>
      </c>
      <c r="G31" s="31">
        <f>G30+(B31-B30)*F31</f>
        <v/>
      </c>
      <c r="H31" s="31">
        <f>H30+(D31-D30)*F31</f>
        <v/>
      </c>
    </row>
    <row r="32">
      <c r="A32" t="n">
        <v>30</v>
      </c>
      <c r="B32" s="31">
        <f>IF(A32=0,0,IF(A32&lt;=build_months,(loaded_monthly*overrun_factor+delay_cost_mo)*A32,loaded_monthly*overrun_factor*build_months+delay_cost_mo*build_months+(maint_monthly+volume_mo*c_build)*(A32-build_months)))</f>
        <v/>
      </c>
      <c r="C32" s="31">
        <f>IF(A32=0,0,upfront_buy+volume_mo*c_buy_low*A32)</f>
        <v/>
      </c>
      <c r="D32" s="31">
        <f>IF(A32=0,0,upfront_buy+volume_mo*c_buy_eff*A32)</f>
        <v/>
      </c>
      <c r="E32" s="31">
        <f>IF(A32=0,0,upfront_buy+volume_mo*c_buy_high*A32)</f>
        <v/>
      </c>
      <c r="F32" s="33">
        <f>1/(1+disc_monthly)^A32</f>
        <v/>
      </c>
      <c r="G32" s="31">
        <f>G31+(B32-B31)*F32</f>
        <v/>
      </c>
      <c r="H32" s="31">
        <f>H31+(D32-D31)*F32</f>
        <v/>
      </c>
    </row>
    <row r="33">
      <c r="A33" t="n">
        <v>31</v>
      </c>
      <c r="B33" s="31">
        <f>IF(A33=0,0,IF(A33&lt;=build_months,(loaded_monthly*overrun_factor+delay_cost_mo)*A33,loaded_monthly*overrun_factor*build_months+delay_cost_mo*build_months+(maint_monthly+volume_mo*c_build)*(A33-build_months)))</f>
        <v/>
      </c>
      <c r="C33" s="31">
        <f>IF(A33=0,0,upfront_buy+volume_mo*c_buy_low*A33)</f>
        <v/>
      </c>
      <c r="D33" s="31">
        <f>IF(A33=0,0,upfront_buy+volume_mo*c_buy_eff*A33)</f>
        <v/>
      </c>
      <c r="E33" s="31">
        <f>IF(A33=0,0,upfront_buy+volume_mo*c_buy_high*A33)</f>
        <v/>
      </c>
      <c r="F33" s="33">
        <f>1/(1+disc_monthly)^A33</f>
        <v/>
      </c>
      <c r="G33" s="31">
        <f>G32+(B33-B32)*F33</f>
        <v/>
      </c>
      <c r="H33" s="31">
        <f>H32+(D33-D32)*F33</f>
        <v/>
      </c>
    </row>
    <row r="34">
      <c r="A34" t="n">
        <v>32</v>
      </c>
      <c r="B34" s="31">
        <f>IF(A34=0,0,IF(A34&lt;=build_months,(loaded_monthly*overrun_factor+delay_cost_mo)*A34,loaded_monthly*overrun_factor*build_months+delay_cost_mo*build_months+(maint_monthly+volume_mo*c_build)*(A34-build_months)))</f>
        <v/>
      </c>
      <c r="C34" s="31">
        <f>IF(A34=0,0,upfront_buy+volume_mo*c_buy_low*A34)</f>
        <v/>
      </c>
      <c r="D34" s="31">
        <f>IF(A34=0,0,upfront_buy+volume_mo*c_buy_eff*A34)</f>
        <v/>
      </c>
      <c r="E34" s="31">
        <f>IF(A34=0,0,upfront_buy+volume_mo*c_buy_high*A34)</f>
        <v/>
      </c>
      <c r="F34" s="33">
        <f>1/(1+disc_monthly)^A34</f>
        <v/>
      </c>
      <c r="G34" s="31">
        <f>G33+(B34-B33)*F34</f>
        <v/>
      </c>
      <c r="H34" s="31">
        <f>H33+(D34-D33)*F34</f>
        <v/>
      </c>
    </row>
    <row r="35">
      <c r="A35" t="n">
        <v>33</v>
      </c>
      <c r="B35" s="31">
        <f>IF(A35=0,0,IF(A35&lt;=build_months,(loaded_monthly*overrun_factor+delay_cost_mo)*A35,loaded_monthly*overrun_factor*build_months+delay_cost_mo*build_months+(maint_monthly+volume_mo*c_build)*(A35-build_months)))</f>
        <v/>
      </c>
      <c r="C35" s="31">
        <f>IF(A35=0,0,upfront_buy+volume_mo*c_buy_low*A35)</f>
        <v/>
      </c>
      <c r="D35" s="31">
        <f>IF(A35=0,0,upfront_buy+volume_mo*c_buy_eff*A35)</f>
        <v/>
      </c>
      <c r="E35" s="31">
        <f>IF(A35=0,0,upfront_buy+volume_mo*c_buy_high*A35)</f>
        <v/>
      </c>
      <c r="F35" s="33">
        <f>1/(1+disc_monthly)^A35</f>
        <v/>
      </c>
      <c r="G35" s="31">
        <f>G34+(B35-B34)*F35</f>
        <v/>
      </c>
      <c r="H35" s="31">
        <f>H34+(D35-D34)*F35</f>
        <v/>
      </c>
    </row>
    <row r="36">
      <c r="A36" t="n">
        <v>34</v>
      </c>
      <c r="B36" s="31">
        <f>IF(A36=0,0,IF(A36&lt;=build_months,(loaded_monthly*overrun_factor+delay_cost_mo)*A36,loaded_monthly*overrun_factor*build_months+delay_cost_mo*build_months+(maint_monthly+volume_mo*c_build)*(A36-build_months)))</f>
        <v/>
      </c>
      <c r="C36" s="31">
        <f>IF(A36=0,0,upfront_buy+volume_mo*c_buy_low*A36)</f>
        <v/>
      </c>
      <c r="D36" s="31">
        <f>IF(A36=0,0,upfront_buy+volume_mo*c_buy_eff*A36)</f>
        <v/>
      </c>
      <c r="E36" s="31">
        <f>IF(A36=0,0,upfront_buy+volume_mo*c_buy_high*A36)</f>
        <v/>
      </c>
      <c r="F36" s="33">
        <f>1/(1+disc_monthly)^A36</f>
        <v/>
      </c>
      <c r="G36" s="31">
        <f>G35+(B36-B35)*F36</f>
        <v/>
      </c>
      <c r="H36" s="31">
        <f>H35+(D36-D35)*F36</f>
        <v/>
      </c>
    </row>
    <row r="37">
      <c r="A37" t="n">
        <v>35</v>
      </c>
      <c r="B37" s="31">
        <f>IF(A37=0,0,IF(A37&lt;=build_months,(loaded_monthly*overrun_factor+delay_cost_mo)*A37,loaded_monthly*overrun_factor*build_months+delay_cost_mo*build_months+(maint_monthly+volume_mo*c_build)*(A37-build_months)))</f>
        <v/>
      </c>
      <c r="C37" s="31">
        <f>IF(A37=0,0,upfront_buy+volume_mo*c_buy_low*A37)</f>
        <v/>
      </c>
      <c r="D37" s="31">
        <f>IF(A37=0,0,upfront_buy+volume_mo*c_buy_eff*A37)</f>
        <v/>
      </c>
      <c r="E37" s="31">
        <f>IF(A37=0,0,upfront_buy+volume_mo*c_buy_high*A37)</f>
        <v/>
      </c>
      <c r="F37" s="33">
        <f>1/(1+disc_monthly)^A37</f>
        <v/>
      </c>
      <c r="G37" s="31">
        <f>G36+(B37-B36)*F37</f>
        <v/>
      </c>
      <c r="H37" s="31">
        <f>H36+(D37-D36)*F37</f>
        <v/>
      </c>
    </row>
    <row r="38">
      <c r="A38" t="n">
        <v>36</v>
      </c>
      <c r="B38" s="31">
        <f>IF(A38=0,0,IF(A38&lt;=build_months,(loaded_monthly*overrun_factor+delay_cost_mo)*A38,loaded_monthly*overrun_factor*build_months+delay_cost_mo*build_months+(maint_monthly+volume_mo*c_build)*(A38-build_months)))</f>
        <v/>
      </c>
      <c r="C38" s="31">
        <f>IF(A38=0,0,upfront_buy+volume_mo*c_buy_low*A38)</f>
        <v/>
      </c>
      <c r="D38" s="31">
        <f>IF(A38=0,0,upfront_buy+volume_mo*c_buy_eff*A38)</f>
        <v/>
      </c>
      <c r="E38" s="31">
        <f>IF(A38=0,0,upfront_buy+volume_mo*c_buy_high*A38)</f>
        <v/>
      </c>
      <c r="F38" s="33">
        <f>1/(1+disc_monthly)^A38</f>
        <v/>
      </c>
      <c r="G38" s="31">
        <f>G37+(B38-B37)*F38</f>
        <v/>
      </c>
      <c r="H38" s="31">
        <f>H37+(D38-D37)*F38</f>
        <v/>
      </c>
    </row>
    <row r="39">
      <c r="A39" t="n">
        <v>37</v>
      </c>
      <c r="B39" s="31">
        <f>IF(A39=0,0,IF(A39&lt;=build_months,(loaded_monthly*overrun_factor+delay_cost_mo)*A39,loaded_monthly*overrun_factor*build_months+delay_cost_mo*build_months+(maint_monthly+volume_mo*c_build)*(A39-build_months)))</f>
        <v/>
      </c>
      <c r="C39" s="31">
        <f>IF(A39=0,0,upfront_buy+volume_mo*c_buy_low*A39)</f>
        <v/>
      </c>
      <c r="D39" s="31">
        <f>IF(A39=0,0,upfront_buy+volume_mo*c_buy_eff*A39)</f>
        <v/>
      </c>
      <c r="E39" s="31">
        <f>IF(A39=0,0,upfront_buy+volume_mo*c_buy_high*A39)</f>
        <v/>
      </c>
      <c r="F39" s="33">
        <f>1/(1+disc_monthly)^A39</f>
        <v/>
      </c>
      <c r="G39" s="31">
        <f>G38+(B39-B38)*F39</f>
        <v/>
      </c>
      <c r="H39" s="31">
        <f>H38+(D39-D38)*F39</f>
        <v/>
      </c>
    </row>
    <row r="40">
      <c r="A40" t="n">
        <v>38</v>
      </c>
      <c r="B40" s="31">
        <f>IF(A40=0,0,IF(A40&lt;=build_months,(loaded_monthly*overrun_factor+delay_cost_mo)*A40,loaded_monthly*overrun_factor*build_months+delay_cost_mo*build_months+(maint_monthly+volume_mo*c_build)*(A40-build_months)))</f>
        <v/>
      </c>
      <c r="C40" s="31">
        <f>IF(A40=0,0,upfront_buy+volume_mo*c_buy_low*A40)</f>
        <v/>
      </c>
      <c r="D40" s="31">
        <f>IF(A40=0,0,upfront_buy+volume_mo*c_buy_eff*A40)</f>
        <v/>
      </c>
      <c r="E40" s="31">
        <f>IF(A40=0,0,upfront_buy+volume_mo*c_buy_high*A40)</f>
        <v/>
      </c>
      <c r="F40" s="33">
        <f>1/(1+disc_monthly)^A40</f>
        <v/>
      </c>
      <c r="G40" s="31">
        <f>G39+(B40-B39)*F40</f>
        <v/>
      </c>
      <c r="H40" s="31">
        <f>H39+(D40-D39)*F40</f>
        <v/>
      </c>
    </row>
    <row r="41">
      <c r="A41" t="n">
        <v>39</v>
      </c>
      <c r="B41" s="31">
        <f>IF(A41=0,0,IF(A41&lt;=build_months,(loaded_monthly*overrun_factor+delay_cost_mo)*A41,loaded_monthly*overrun_factor*build_months+delay_cost_mo*build_months+(maint_monthly+volume_mo*c_build)*(A41-build_months)))</f>
        <v/>
      </c>
      <c r="C41" s="31">
        <f>IF(A41=0,0,upfront_buy+volume_mo*c_buy_low*A41)</f>
        <v/>
      </c>
      <c r="D41" s="31">
        <f>IF(A41=0,0,upfront_buy+volume_mo*c_buy_eff*A41)</f>
        <v/>
      </c>
      <c r="E41" s="31">
        <f>IF(A41=0,0,upfront_buy+volume_mo*c_buy_high*A41)</f>
        <v/>
      </c>
      <c r="F41" s="33">
        <f>1/(1+disc_monthly)^A41</f>
        <v/>
      </c>
      <c r="G41" s="31">
        <f>G40+(B41-B40)*F41</f>
        <v/>
      </c>
      <c r="H41" s="31">
        <f>H40+(D41-D40)*F41</f>
        <v/>
      </c>
    </row>
    <row r="42">
      <c r="A42" t="n">
        <v>40</v>
      </c>
      <c r="B42" s="31">
        <f>IF(A42=0,0,IF(A42&lt;=build_months,(loaded_monthly*overrun_factor+delay_cost_mo)*A42,loaded_monthly*overrun_factor*build_months+delay_cost_mo*build_months+(maint_monthly+volume_mo*c_build)*(A42-build_months)))</f>
        <v/>
      </c>
      <c r="C42" s="31">
        <f>IF(A42=0,0,upfront_buy+volume_mo*c_buy_low*A42)</f>
        <v/>
      </c>
      <c r="D42" s="31">
        <f>IF(A42=0,0,upfront_buy+volume_mo*c_buy_eff*A42)</f>
        <v/>
      </c>
      <c r="E42" s="31">
        <f>IF(A42=0,0,upfront_buy+volume_mo*c_buy_high*A42)</f>
        <v/>
      </c>
      <c r="F42" s="33">
        <f>1/(1+disc_monthly)^A42</f>
        <v/>
      </c>
      <c r="G42" s="31">
        <f>G41+(B42-B41)*F42</f>
        <v/>
      </c>
      <c r="H42" s="31">
        <f>H41+(D42-D41)*F42</f>
        <v/>
      </c>
    </row>
    <row r="43">
      <c r="A43" t="n">
        <v>41</v>
      </c>
      <c r="B43" s="31">
        <f>IF(A43=0,0,IF(A43&lt;=build_months,(loaded_monthly*overrun_factor+delay_cost_mo)*A43,loaded_monthly*overrun_factor*build_months+delay_cost_mo*build_months+(maint_monthly+volume_mo*c_build)*(A43-build_months)))</f>
        <v/>
      </c>
      <c r="C43" s="31">
        <f>IF(A43=0,0,upfront_buy+volume_mo*c_buy_low*A43)</f>
        <v/>
      </c>
      <c r="D43" s="31">
        <f>IF(A43=0,0,upfront_buy+volume_mo*c_buy_eff*A43)</f>
        <v/>
      </c>
      <c r="E43" s="31">
        <f>IF(A43=0,0,upfront_buy+volume_mo*c_buy_high*A43)</f>
        <v/>
      </c>
      <c r="F43" s="33">
        <f>1/(1+disc_monthly)^A43</f>
        <v/>
      </c>
      <c r="G43" s="31">
        <f>G42+(B43-B42)*F43</f>
        <v/>
      </c>
      <c r="H43" s="31">
        <f>H42+(D43-D42)*F43</f>
        <v/>
      </c>
    </row>
    <row r="44">
      <c r="A44" t="n">
        <v>42</v>
      </c>
      <c r="B44" s="31">
        <f>IF(A44=0,0,IF(A44&lt;=build_months,(loaded_monthly*overrun_factor+delay_cost_mo)*A44,loaded_monthly*overrun_factor*build_months+delay_cost_mo*build_months+(maint_monthly+volume_mo*c_build)*(A44-build_months)))</f>
        <v/>
      </c>
      <c r="C44" s="31">
        <f>IF(A44=0,0,upfront_buy+volume_mo*c_buy_low*A44)</f>
        <v/>
      </c>
      <c r="D44" s="31">
        <f>IF(A44=0,0,upfront_buy+volume_mo*c_buy_eff*A44)</f>
        <v/>
      </c>
      <c r="E44" s="31">
        <f>IF(A44=0,0,upfront_buy+volume_mo*c_buy_high*A44)</f>
        <v/>
      </c>
      <c r="F44" s="33">
        <f>1/(1+disc_monthly)^A44</f>
        <v/>
      </c>
      <c r="G44" s="31">
        <f>G43+(B44-B43)*F44</f>
        <v/>
      </c>
      <c r="H44" s="31">
        <f>H43+(D44-D43)*F44</f>
        <v/>
      </c>
    </row>
    <row r="45">
      <c r="A45" t="n">
        <v>43</v>
      </c>
      <c r="B45" s="31">
        <f>IF(A45=0,0,IF(A45&lt;=build_months,(loaded_monthly*overrun_factor+delay_cost_mo)*A45,loaded_monthly*overrun_factor*build_months+delay_cost_mo*build_months+(maint_monthly+volume_mo*c_build)*(A45-build_months)))</f>
        <v/>
      </c>
      <c r="C45" s="31">
        <f>IF(A45=0,0,upfront_buy+volume_mo*c_buy_low*A45)</f>
        <v/>
      </c>
      <c r="D45" s="31">
        <f>IF(A45=0,0,upfront_buy+volume_mo*c_buy_eff*A45)</f>
        <v/>
      </c>
      <c r="E45" s="31">
        <f>IF(A45=0,0,upfront_buy+volume_mo*c_buy_high*A45)</f>
        <v/>
      </c>
      <c r="F45" s="33">
        <f>1/(1+disc_monthly)^A45</f>
        <v/>
      </c>
      <c r="G45" s="31">
        <f>G44+(B45-B44)*F45</f>
        <v/>
      </c>
      <c r="H45" s="31">
        <f>H44+(D45-D44)*F45</f>
        <v/>
      </c>
    </row>
    <row r="46">
      <c r="A46" t="n">
        <v>44</v>
      </c>
      <c r="B46" s="31">
        <f>IF(A46=0,0,IF(A46&lt;=build_months,(loaded_monthly*overrun_factor+delay_cost_mo)*A46,loaded_monthly*overrun_factor*build_months+delay_cost_mo*build_months+(maint_monthly+volume_mo*c_build)*(A46-build_months)))</f>
        <v/>
      </c>
      <c r="C46" s="31">
        <f>IF(A46=0,0,upfront_buy+volume_mo*c_buy_low*A46)</f>
        <v/>
      </c>
      <c r="D46" s="31">
        <f>IF(A46=0,0,upfront_buy+volume_mo*c_buy_eff*A46)</f>
        <v/>
      </c>
      <c r="E46" s="31">
        <f>IF(A46=0,0,upfront_buy+volume_mo*c_buy_high*A46)</f>
        <v/>
      </c>
      <c r="F46" s="33">
        <f>1/(1+disc_monthly)^A46</f>
        <v/>
      </c>
      <c r="G46" s="31">
        <f>G45+(B46-B45)*F46</f>
        <v/>
      </c>
      <c r="H46" s="31">
        <f>H45+(D46-D45)*F46</f>
        <v/>
      </c>
    </row>
    <row r="47">
      <c r="A47" t="n">
        <v>45</v>
      </c>
      <c r="B47" s="31">
        <f>IF(A47=0,0,IF(A47&lt;=build_months,(loaded_monthly*overrun_factor+delay_cost_mo)*A47,loaded_monthly*overrun_factor*build_months+delay_cost_mo*build_months+(maint_monthly+volume_mo*c_build)*(A47-build_months)))</f>
        <v/>
      </c>
      <c r="C47" s="31">
        <f>IF(A47=0,0,upfront_buy+volume_mo*c_buy_low*A47)</f>
        <v/>
      </c>
      <c r="D47" s="31">
        <f>IF(A47=0,0,upfront_buy+volume_mo*c_buy_eff*A47)</f>
        <v/>
      </c>
      <c r="E47" s="31">
        <f>IF(A47=0,0,upfront_buy+volume_mo*c_buy_high*A47)</f>
        <v/>
      </c>
      <c r="F47" s="33">
        <f>1/(1+disc_monthly)^A47</f>
        <v/>
      </c>
      <c r="G47" s="31">
        <f>G46+(B47-B46)*F47</f>
        <v/>
      </c>
      <c r="H47" s="31">
        <f>H46+(D47-D46)*F47</f>
        <v/>
      </c>
    </row>
    <row r="48">
      <c r="A48" t="n">
        <v>46</v>
      </c>
      <c r="B48" s="31">
        <f>IF(A48=0,0,IF(A48&lt;=build_months,(loaded_monthly*overrun_factor+delay_cost_mo)*A48,loaded_monthly*overrun_factor*build_months+delay_cost_mo*build_months+(maint_monthly+volume_mo*c_build)*(A48-build_months)))</f>
        <v/>
      </c>
      <c r="C48" s="31">
        <f>IF(A48=0,0,upfront_buy+volume_mo*c_buy_low*A48)</f>
        <v/>
      </c>
      <c r="D48" s="31">
        <f>IF(A48=0,0,upfront_buy+volume_mo*c_buy_eff*A48)</f>
        <v/>
      </c>
      <c r="E48" s="31">
        <f>IF(A48=0,0,upfront_buy+volume_mo*c_buy_high*A48)</f>
        <v/>
      </c>
      <c r="F48" s="33">
        <f>1/(1+disc_monthly)^A48</f>
        <v/>
      </c>
      <c r="G48" s="31">
        <f>G47+(B48-B47)*F48</f>
        <v/>
      </c>
      <c r="H48" s="31">
        <f>H47+(D48-D47)*F48</f>
        <v/>
      </c>
    </row>
    <row r="49">
      <c r="A49" t="n">
        <v>47</v>
      </c>
      <c r="B49" s="31">
        <f>IF(A49=0,0,IF(A49&lt;=build_months,(loaded_monthly*overrun_factor+delay_cost_mo)*A49,loaded_monthly*overrun_factor*build_months+delay_cost_mo*build_months+(maint_monthly+volume_mo*c_build)*(A49-build_months)))</f>
        <v/>
      </c>
      <c r="C49" s="31">
        <f>IF(A49=0,0,upfront_buy+volume_mo*c_buy_low*A49)</f>
        <v/>
      </c>
      <c r="D49" s="31">
        <f>IF(A49=0,0,upfront_buy+volume_mo*c_buy_eff*A49)</f>
        <v/>
      </c>
      <c r="E49" s="31">
        <f>IF(A49=0,0,upfront_buy+volume_mo*c_buy_high*A49)</f>
        <v/>
      </c>
      <c r="F49" s="33">
        <f>1/(1+disc_monthly)^A49</f>
        <v/>
      </c>
      <c r="G49" s="31">
        <f>G48+(B49-B48)*F49</f>
        <v/>
      </c>
      <c r="H49" s="31">
        <f>H48+(D49-D48)*F49</f>
        <v/>
      </c>
    </row>
    <row r="50">
      <c r="A50" t="n">
        <v>48</v>
      </c>
      <c r="B50" s="31">
        <f>IF(A50=0,0,IF(A50&lt;=build_months,(loaded_monthly*overrun_factor+delay_cost_mo)*A50,loaded_monthly*overrun_factor*build_months+delay_cost_mo*build_months+(maint_monthly+volume_mo*c_build)*(A50-build_months)))</f>
        <v/>
      </c>
      <c r="C50" s="31">
        <f>IF(A50=0,0,upfront_buy+volume_mo*c_buy_low*A50)</f>
        <v/>
      </c>
      <c r="D50" s="31">
        <f>IF(A50=0,0,upfront_buy+volume_mo*c_buy_eff*A50)</f>
        <v/>
      </c>
      <c r="E50" s="31">
        <f>IF(A50=0,0,upfront_buy+volume_mo*c_buy_high*A50)</f>
        <v/>
      </c>
      <c r="F50" s="33">
        <f>1/(1+disc_monthly)^A50</f>
        <v/>
      </c>
      <c r="G50" s="31">
        <f>G49+(B50-B49)*F50</f>
        <v/>
      </c>
      <c r="H50" s="31">
        <f>H49+(D50-D49)*F50</f>
        <v/>
      </c>
    </row>
    <row r="51">
      <c r="A51" t="n">
        <v>49</v>
      </c>
      <c r="B51" s="31">
        <f>IF(A51=0,0,IF(A51&lt;=build_months,(loaded_monthly*overrun_factor+delay_cost_mo)*A51,loaded_monthly*overrun_factor*build_months+delay_cost_mo*build_months+(maint_monthly+volume_mo*c_build)*(A51-build_months)))</f>
        <v/>
      </c>
      <c r="C51" s="31">
        <f>IF(A51=0,0,upfront_buy+volume_mo*c_buy_low*A51)</f>
        <v/>
      </c>
      <c r="D51" s="31">
        <f>IF(A51=0,0,upfront_buy+volume_mo*c_buy_eff*A51)</f>
        <v/>
      </c>
      <c r="E51" s="31">
        <f>IF(A51=0,0,upfront_buy+volume_mo*c_buy_high*A51)</f>
        <v/>
      </c>
      <c r="F51" s="33">
        <f>1/(1+disc_monthly)^A51</f>
        <v/>
      </c>
      <c r="G51" s="31">
        <f>G50+(B51-B50)*F51</f>
        <v/>
      </c>
      <c r="H51" s="31">
        <f>H50+(D51-D50)*F51</f>
        <v/>
      </c>
    </row>
    <row r="52">
      <c r="A52" t="n">
        <v>50</v>
      </c>
      <c r="B52" s="31">
        <f>IF(A52=0,0,IF(A52&lt;=build_months,(loaded_monthly*overrun_factor+delay_cost_mo)*A52,loaded_monthly*overrun_factor*build_months+delay_cost_mo*build_months+(maint_monthly+volume_mo*c_build)*(A52-build_months)))</f>
        <v/>
      </c>
      <c r="C52" s="31">
        <f>IF(A52=0,0,upfront_buy+volume_mo*c_buy_low*A52)</f>
        <v/>
      </c>
      <c r="D52" s="31">
        <f>IF(A52=0,0,upfront_buy+volume_mo*c_buy_eff*A52)</f>
        <v/>
      </c>
      <c r="E52" s="31">
        <f>IF(A52=0,0,upfront_buy+volume_mo*c_buy_high*A52)</f>
        <v/>
      </c>
      <c r="F52" s="33">
        <f>1/(1+disc_monthly)^A52</f>
        <v/>
      </c>
      <c r="G52" s="31">
        <f>G51+(B52-B51)*F52</f>
        <v/>
      </c>
      <c r="H52" s="31">
        <f>H51+(D52-D51)*F52</f>
        <v/>
      </c>
    </row>
    <row r="53">
      <c r="A53" t="n">
        <v>51</v>
      </c>
      <c r="B53" s="31">
        <f>IF(A53=0,0,IF(A53&lt;=build_months,(loaded_monthly*overrun_factor+delay_cost_mo)*A53,loaded_monthly*overrun_factor*build_months+delay_cost_mo*build_months+(maint_monthly+volume_mo*c_build)*(A53-build_months)))</f>
        <v/>
      </c>
      <c r="C53" s="31">
        <f>IF(A53=0,0,upfront_buy+volume_mo*c_buy_low*A53)</f>
        <v/>
      </c>
      <c r="D53" s="31">
        <f>IF(A53=0,0,upfront_buy+volume_mo*c_buy_eff*A53)</f>
        <v/>
      </c>
      <c r="E53" s="31">
        <f>IF(A53=0,0,upfront_buy+volume_mo*c_buy_high*A53)</f>
        <v/>
      </c>
      <c r="F53" s="33">
        <f>1/(1+disc_monthly)^A53</f>
        <v/>
      </c>
      <c r="G53" s="31">
        <f>G52+(B53-B52)*F53</f>
        <v/>
      </c>
      <c r="H53" s="31">
        <f>H52+(D53-D52)*F53</f>
        <v/>
      </c>
    </row>
    <row r="54">
      <c r="A54" t="n">
        <v>52</v>
      </c>
      <c r="B54" s="31">
        <f>IF(A54=0,0,IF(A54&lt;=build_months,(loaded_monthly*overrun_factor+delay_cost_mo)*A54,loaded_monthly*overrun_factor*build_months+delay_cost_mo*build_months+(maint_monthly+volume_mo*c_build)*(A54-build_months)))</f>
        <v/>
      </c>
      <c r="C54" s="31">
        <f>IF(A54=0,0,upfront_buy+volume_mo*c_buy_low*A54)</f>
        <v/>
      </c>
      <c r="D54" s="31">
        <f>IF(A54=0,0,upfront_buy+volume_mo*c_buy_eff*A54)</f>
        <v/>
      </c>
      <c r="E54" s="31">
        <f>IF(A54=0,0,upfront_buy+volume_mo*c_buy_high*A54)</f>
        <v/>
      </c>
      <c r="F54" s="33">
        <f>1/(1+disc_monthly)^A54</f>
        <v/>
      </c>
      <c r="G54" s="31">
        <f>G53+(B54-B53)*F54</f>
        <v/>
      </c>
      <c r="H54" s="31">
        <f>H53+(D54-D53)*F54</f>
        <v/>
      </c>
    </row>
    <row r="55">
      <c r="A55" t="n">
        <v>53</v>
      </c>
      <c r="B55" s="31">
        <f>IF(A55=0,0,IF(A55&lt;=build_months,(loaded_monthly*overrun_factor+delay_cost_mo)*A55,loaded_monthly*overrun_factor*build_months+delay_cost_mo*build_months+(maint_monthly+volume_mo*c_build)*(A55-build_months)))</f>
        <v/>
      </c>
      <c r="C55" s="31">
        <f>IF(A55=0,0,upfront_buy+volume_mo*c_buy_low*A55)</f>
        <v/>
      </c>
      <c r="D55" s="31">
        <f>IF(A55=0,0,upfront_buy+volume_mo*c_buy_eff*A55)</f>
        <v/>
      </c>
      <c r="E55" s="31">
        <f>IF(A55=0,0,upfront_buy+volume_mo*c_buy_high*A55)</f>
        <v/>
      </c>
      <c r="F55" s="33">
        <f>1/(1+disc_monthly)^A55</f>
        <v/>
      </c>
      <c r="G55" s="31">
        <f>G54+(B55-B54)*F55</f>
        <v/>
      </c>
      <c r="H55" s="31">
        <f>H54+(D55-D54)*F55</f>
        <v/>
      </c>
    </row>
    <row r="56">
      <c r="A56" t="n">
        <v>54</v>
      </c>
      <c r="B56" s="31">
        <f>IF(A56=0,0,IF(A56&lt;=build_months,(loaded_monthly*overrun_factor+delay_cost_mo)*A56,loaded_monthly*overrun_factor*build_months+delay_cost_mo*build_months+(maint_monthly+volume_mo*c_build)*(A56-build_months)))</f>
        <v/>
      </c>
      <c r="C56" s="31">
        <f>IF(A56=0,0,upfront_buy+volume_mo*c_buy_low*A56)</f>
        <v/>
      </c>
      <c r="D56" s="31">
        <f>IF(A56=0,0,upfront_buy+volume_mo*c_buy_eff*A56)</f>
        <v/>
      </c>
      <c r="E56" s="31">
        <f>IF(A56=0,0,upfront_buy+volume_mo*c_buy_high*A56)</f>
        <v/>
      </c>
      <c r="F56" s="33">
        <f>1/(1+disc_monthly)^A56</f>
        <v/>
      </c>
      <c r="G56" s="31">
        <f>G55+(B56-B55)*F56</f>
        <v/>
      </c>
      <c r="H56" s="31">
        <f>H55+(D56-D55)*F56</f>
        <v/>
      </c>
    </row>
    <row r="57">
      <c r="A57" t="n">
        <v>55</v>
      </c>
      <c r="B57" s="31">
        <f>IF(A57=0,0,IF(A57&lt;=build_months,(loaded_monthly*overrun_factor+delay_cost_mo)*A57,loaded_monthly*overrun_factor*build_months+delay_cost_mo*build_months+(maint_monthly+volume_mo*c_build)*(A57-build_months)))</f>
        <v/>
      </c>
      <c r="C57" s="31">
        <f>IF(A57=0,0,upfront_buy+volume_mo*c_buy_low*A57)</f>
        <v/>
      </c>
      <c r="D57" s="31">
        <f>IF(A57=0,0,upfront_buy+volume_mo*c_buy_eff*A57)</f>
        <v/>
      </c>
      <c r="E57" s="31">
        <f>IF(A57=0,0,upfront_buy+volume_mo*c_buy_high*A57)</f>
        <v/>
      </c>
      <c r="F57" s="33">
        <f>1/(1+disc_monthly)^A57</f>
        <v/>
      </c>
      <c r="G57" s="31">
        <f>G56+(B57-B56)*F57</f>
        <v/>
      </c>
      <c r="H57" s="31">
        <f>H56+(D57-D56)*F57</f>
        <v/>
      </c>
    </row>
    <row r="58">
      <c r="A58" t="n">
        <v>56</v>
      </c>
      <c r="B58" s="31">
        <f>IF(A58=0,0,IF(A58&lt;=build_months,(loaded_monthly*overrun_factor+delay_cost_mo)*A58,loaded_monthly*overrun_factor*build_months+delay_cost_mo*build_months+(maint_monthly+volume_mo*c_build)*(A58-build_months)))</f>
        <v/>
      </c>
      <c r="C58" s="31">
        <f>IF(A58=0,0,upfront_buy+volume_mo*c_buy_low*A58)</f>
        <v/>
      </c>
      <c r="D58" s="31">
        <f>IF(A58=0,0,upfront_buy+volume_mo*c_buy_eff*A58)</f>
        <v/>
      </c>
      <c r="E58" s="31">
        <f>IF(A58=0,0,upfront_buy+volume_mo*c_buy_high*A58)</f>
        <v/>
      </c>
      <c r="F58" s="33">
        <f>1/(1+disc_monthly)^A58</f>
        <v/>
      </c>
      <c r="G58" s="31">
        <f>G57+(B58-B57)*F58</f>
        <v/>
      </c>
      <c r="H58" s="31">
        <f>H57+(D58-D57)*F58</f>
        <v/>
      </c>
    </row>
    <row r="59">
      <c r="A59" t="n">
        <v>57</v>
      </c>
      <c r="B59" s="31">
        <f>IF(A59=0,0,IF(A59&lt;=build_months,(loaded_monthly*overrun_factor+delay_cost_mo)*A59,loaded_monthly*overrun_factor*build_months+delay_cost_mo*build_months+(maint_monthly+volume_mo*c_build)*(A59-build_months)))</f>
        <v/>
      </c>
      <c r="C59" s="31">
        <f>IF(A59=0,0,upfront_buy+volume_mo*c_buy_low*A59)</f>
        <v/>
      </c>
      <c r="D59" s="31">
        <f>IF(A59=0,0,upfront_buy+volume_mo*c_buy_eff*A59)</f>
        <v/>
      </c>
      <c r="E59" s="31">
        <f>IF(A59=0,0,upfront_buy+volume_mo*c_buy_high*A59)</f>
        <v/>
      </c>
      <c r="F59" s="33">
        <f>1/(1+disc_monthly)^A59</f>
        <v/>
      </c>
      <c r="G59" s="31">
        <f>G58+(B59-B58)*F59</f>
        <v/>
      </c>
      <c r="H59" s="31">
        <f>H58+(D59-D58)*F59</f>
        <v/>
      </c>
    </row>
    <row r="60">
      <c r="A60" t="n">
        <v>58</v>
      </c>
      <c r="B60" s="31">
        <f>IF(A60=0,0,IF(A60&lt;=build_months,(loaded_monthly*overrun_factor+delay_cost_mo)*A60,loaded_monthly*overrun_factor*build_months+delay_cost_mo*build_months+(maint_monthly+volume_mo*c_build)*(A60-build_months)))</f>
        <v/>
      </c>
      <c r="C60" s="31">
        <f>IF(A60=0,0,upfront_buy+volume_mo*c_buy_low*A60)</f>
        <v/>
      </c>
      <c r="D60" s="31">
        <f>IF(A60=0,0,upfront_buy+volume_mo*c_buy_eff*A60)</f>
        <v/>
      </c>
      <c r="E60" s="31">
        <f>IF(A60=0,0,upfront_buy+volume_mo*c_buy_high*A60)</f>
        <v/>
      </c>
      <c r="F60" s="33">
        <f>1/(1+disc_monthly)^A60</f>
        <v/>
      </c>
      <c r="G60" s="31">
        <f>G59+(B60-B59)*F60</f>
        <v/>
      </c>
      <c r="H60" s="31">
        <f>H59+(D60-D59)*F60</f>
        <v/>
      </c>
    </row>
    <row r="61">
      <c r="A61" t="n">
        <v>59</v>
      </c>
      <c r="B61" s="31">
        <f>IF(A61=0,0,IF(A61&lt;=build_months,(loaded_monthly*overrun_factor+delay_cost_mo)*A61,loaded_monthly*overrun_factor*build_months+delay_cost_mo*build_months+(maint_monthly+volume_mo*c_build)*(A61-build_months)))</f>
        <v/>
      </c>
      <c r="C61" s="31">
        <f>IF(A61=0,0,upfront_buy+volume_mo*c_buy_low*A61)</f>
        <v/>
      </c>
      <c r="D61" s="31">
        <f>IF(A61=0,0,upfront_buy+volume_mo*c_buy_eff*A61)</f>
        <v/>
      </c>
      <c r="E61" s="31">
        <f>IF(A61=0,0,upfront_buy+volume_mo*c_buy_high*A61)</f>
        <v/>
      </c>
      <c r="F61" s="33">
        <f>1/(1+disc_monthly)^A61</f>
        <v/>
      </c>
      <c r="G61" s="31">
        <f>G60+(B61-B60)*F61</f>
        <v/>
      </c>
      <c r="H61" s="31">
        <f>H60+(D61-D60)*F61</f>
        <v/>
      </c>
    </row>
    <row r="62">
      <c r="A62" t="n">
        <v>60</v>
      </c>
      <c r="B62" s="31">
        <f>IF(A62=0,0,IF(A62&lt;=build_months,(loaded_monthly*overrun_factor+delay_cost_mo)*A62,loaded_monthly*overrun_factor*build_months+delay_cost_mo*build_months+(maint_monthly+volume_mo*c_build)*(A62-build_months)))</f>
        <v/>
      </c>
      <c r="C62" s="31">
        <f>IF(A62=0,0,upfront_buy+volume_mo*c_buy_low*A62)</f>
        <v/>
      </c>
      <c r="D62" s="31">
        <f>IF(A62=0,0,upfront_buy+volume_mo*c_buy_eff*A62)</f>
        <v/>
      </c>
      <c r="E62" s="31">
        <f>IF(A62=0,0,upfront_buy+volume_mo*c_buy_high*A62)</f>
        <v/>
      </c>
      <c r="F62" s="33">
        <f>1/(1+disc_monthly)^A62</f>
        <v/>
      </c>
      <c r="G62" s="31">
        <f>G61+(B62-B61)*F62</f>
        <v/>
      </c>
      <c r="H62" s="31">
        <f>H61+(D62-D61)*F62</f>
        <v/>
      </c>
    </row>
  </sheetData>
  <printOptions horizontalCentered="0"/>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E14"/>
  <sheetViews>
    <sheetView workbookViewId="0">
      <pane ySplit="2" topLeftCell="A3" activePane="bottomLeft" state="frozen"/>
      <selection pane="bottomLeft" activeCell="A1" sqref="A1"/>
    </sheetView>
  </sheetViews>
  <sheetFormatPr baseColWidth="8" defaultRowHeight="15"/>
  <cols>
    <col width="18" customWidth="1" min="1" max="1"/>
    <col width="24" customWidth="1" min="2" max="2"/>
    <col width="24" customWidth="1" min="3" max="3"/>
    <col width="24" customWidth="1" min="4" max="4"/>
    <col width="24" customWidth="1" min="5" max="5"/>
  </cols>
  <sheetData>
    <row r="1">
      <c r="A1" s="2" t="inlineStr">
        <is>
          <t>Total cost at your horizon, by monthly transaction volume</t>
        </is>
      </c>
    </row>
    <row r="2" ht="34" customHeight="1">
      <c r="A2" s="32" t="inlineStr">
        <is>
          <t>Transactions/month</t>
        </is>
      </c>
      <c r="B2" s="32" t="inlineStr">
        <is>
          <t>Build total</t>
        </is>
      </c>
      <c r="C2" s="32" t="inlineStr">
        <is>
          <t>Buy total (cheapest tier)</t>
        </is>
      </c>
      <c r="D2" s="32" t="inlineStr">
        <is>
          <t>Buy total (your model)</t>
        </is>
      </c>
      <c r="E2" s="32" t="inlineStr">
        <is>
          <t>Buy total (dearest tier)</t>
        </is>
      </c>
    </row>
    <row r="3">
      <c r="A3" s="34" t="n">
        <v>1000</v>
      </c>
      <c r="B3" s="31">
        <f>build_labor+delay_cost_mo*build_months+(maint_monthly+A3*c_build)*(horizon_months-build_months)</f>
        <v/>
      </c>
      <c r="C3" s="31">
        <f>upfront_buy+A3*c_buy_low*horizon_months</f>
        <v/>
      </c>
      <c r="D3" s="31">
        <f>upfront_buy+A3*c_buy_eff*horizon_months</f>
        <v/>
      </c>
      <c r="E3" s="31">
        <f>upfront_buy+A3*c_buy_high*horizon_months</f>
        <v/>
      </c>
    </row>
    <row r="4">
      <c r="A4" s="34" t="n">
        <v>5000</v>
      </c>
      <c r="B4" s="31">
        <f>build_labor+delay_cost_mo*build_months+(maint_monthly+A4*c_build)*(horizon_months-build_months)</f>
        <v/>
      </c>
      <c r="C4" s="31">
        <f>upfront_buy+A4*c_buy_low*horizon_months</f>
        <v/>
      </c>
      <c r="D4" s="31">
        <f>upfront_buy+A4*c_buy_eff*horizon_months</f>
        <v/>
      </c>
      <c r="E4" s="31">
        <f>upfront_buy+A4*c_buy_high*horizon_months</f>
        <v/>
      </c>
    </row>
    <row r="5">
      <c r="A5" s="34" t="n">
        <v>25000</v>
      </c>
      <c r="B5" s="31">
        <f>build_labor+delay_cost_mo*build_months+(maint_monthly+A5*c_build)*(horizon_months-build_months)</f>
        <v/>
      </c>
      <c r="C5" s="31">
        <f>upfront_buy+A5*c_buy_low*horizon_months</f>
        <v/>
      </c>
      <c r="D5" s="31">
        <f>upfront_buy+A5*c_buy_eff*horizon_months</f>
        <v/>
      </c>
      <c r="E5" s="31">
        <f>upfront_buy+A5*c_buy_high*horizon_months</f>
        <v/>
      </c>
    </row>
    <row r="6">
      <c r="A6" s="34" t="n">
        <v>100000</v>
      </c>
      <c r="B6" s="31">
        <f>build_labor+delay_cost_mo*build_months+(maint_monthly+A6*c_build)*(horizon_months-build_months)</f>
        <v/>
      </c>
      <c r="C6" s="31">
        <f>upfront_buy+A6*c_buy_low*horizon_months</f>
        <v/>
      </c>
      <c r="D6" s="31">
        <f>upfront_buy+A6*c_buy_eff*horizon_months</f>
        <v/>
      </c>
      <c r="E6" s="31">
        <f>upfront_buy+A6*c_buy_high*horizon_months</f>
        <v/>
      </c>
    </row>
    <row r="7">
      <c r="A7" s="34" t="n">
        <v>500000</v>
      </c>
      <c r="B7" s="31">
        <f>build_labor+delay_cost_mo*build_months+(maint_monthly+A7*c_build)*(horizon_months-build_months)</f>
        <v/>
      </c>
      <c r="C7" s="31">
        <f>upfront_buy+A7*c_buy_low*horizon_months</f>
        <v/>
      </c>
      <c r="D7" s="31">
        <f>upfront_buy+A7*c_buy_eff*horizon_months</f>
        <v/>
      </c>
      <c r="E7" s="31">
        <f>upfront_buy+A7*c_buy_high*horizon_months</f>
        <v/>
      </c>
    </row>
    <row r="8">
      <c r="A8" s="34" t="n">
        <v>1000000</v>
      </c>
      <c r="B8" s="31">
        <f>build_labor+delay_cost_mo*build_months+(maint_monthly+A8*c_build)*(horizon_months-build_months)</f>
        <v/>
      </c>
      <c r="C8" s="31">
        <f>upfront_buy+A8*c_buy_low*horizon_months</f>
        <v/>
      </c>
      <c r="D8" s="31">
        <f>upfront_buy+A8*c_buy_eff*horizon_months</f>
        <v/>
      </c>
      <c r="E8" s="31">
        <f>upfront_buy+A8*c_buy_high*horizon_months</f>
        <v/>
      </c>
    </row>
    <row r="9">
      <c r="A9" s="34" t="n">
        <v>2500000</v>
      </c>
      <c r="B9" s="31">
        <f>build_labor+delay_cost_mo*build_months+(maint_monthly+A9*c_build)*(horizon_months-build_months)</f>
        <v/>
      </c>
      <c r="C9" s="31">
        <f>upfront_buy+A9*c_buy_low*horizon_months</f>
        <v/>
      </c>
      <c r="D9" s="31">
        <f>upfront_buy+A9*c_buy_eff*horizon_months</f>
        <v/>
      </c>
      <c r="E9" s="31">
        <f>upfront_buy+A9*c_buy_high*horizon_months</f>
        <v/>
      </c>
    </row>
    <row r="10">
      <c r="A10" s="34" t="n">
        <v>5000000</v>
      </c>
      <c r="B10" s="31">
        <f>build_labor+delay_cost_mo*build_months+(maint_monthly+A10*c_build)*(horizon_months-build_months)</f>
        <v/>
      </c>
      <c r="C10" s="31">
        <f>upfront_buy+A10*c_buy_low*horizon_months</f>
        <v/>
      </c>
      <c r="D10" s="31">
        <f>upfront_buy+A10*c_buy_eff*horizon_months</f>
        <v/>
      </c>
      <c r="E10" s="31">
        <f>upfront_buy+A10*c_buy_high*horizon_months</f>
        <v/>
      </c>
    </row>
    <row r="11">
      <c r="A11" s="34" t="n">
        <v>10000000</v>
      </c>
      <c r="B11" s="31">
        <f>build_labor+delay_cost_mo*build_months+(maint_monthly+A11*c_build)*(horizon_months-build_months)</f>
        <v/>
      </c>
      <c r="C11" s="31">
        <f>upfront_buy+A11*c_buy_low*horizon_months</f>
        <v/>
      </c>
      <c r="D11" s="31">
        <f>upfront_buy+A11*c_buy_eff*horizon_months</f>
        <v/>
      </c>
      <c r="E11" s="31">
        <f>upfront_buy+A11*c_buy_high*horizon_months</f>
        <v/>
      </c>
    </row>
    <row r="12">
      <c r="A12" s="34" t="n">
        <v>25000000</v>
      </c>
      <c r="B12" s="31">
        <f>build_labor+delay_cost_mo*build_months+(maint_monthly+A12*c_build)*(horizon_months-build_months)</f>
        <v/>
      </c>
      <c r="C12" s="31">
        <f>upfront_buy+A12*c_buy_low*horizon_months</f>
        <v/>
      </c>
      <c r="D12" s="31">
        <f>upfront_buy+A12*c_buy_eff*horizon_months</f>
        <v/>
      </c>
      <c r="E12" s="31">
        <f>upfront_buy+A12*c_buy_high*horizon_months</f>
        <v/>
      </c>
    </row>
    <row r="13">
      <c r="A13" s="34" t="n">
        <v>50000000</v>
      </c>
      <c r="B13" s="31">
        <f>build_labor+delay_cost_mo*build_months+(maint_monthly+A13*c_build)*(horizon_months-build_months)</f>
        <v/>
      </c>
      <c r="C13" s="31">
        <f>upfront_buy+A13*c_buy_low*horizon_months</f>
        <v/>
      </c>
      <c r="D13" s="31">
        <f>upfront_buy+A13*c_buy_eff*horizon_months</f>
        <v/>
      </c>
      <c r="E13" s="31">
        <f>upfront_buy+A13*c_buy_high*horizon_months</f>
        <v/>
      </c>
    </row>
    <row r="14">
      <c r="A14" s="34" t="n">
        <v>100000000</v>
      </c>
      <c r="B14" s="31">
        <f>build_labor+delay_cost_mo*build_months+(maint_monthly+A14*c_build)*(horizon_months-build_months)</f>
        <v/>
      </c>
      <c r="C14" s="31">
        <f>upfront_buy+A14*c_buy_low*horizon_months</f>
        <v/>
      </c>
      <c r="D14" s="31">
        <f>upfront_buy+A14*c_buy_eff*horizon_months</f>
        <v/>
      </c>
      <c r="E14" s="31">
        <f>upfront_buy+A14*c_buy_high*horizon_months</f>
        <v/>
      </c>
    </row>
  </sheetData>
  <printOptions horizontalCentered="0"/>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G11"/>
  <sheetViews>
    <sheetView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Break-even month by volume and multiplier</t>
        </is>
      </c>
    </row>
    <row r="2">
      <c r="A2" s="4" t="inlineStr">
        <is>
          <t>UNDISCOUNTED closed form, indicative. The Decision tile on Inputs carries the discounted figure. 'Never' means the build never repays at that combination.</t>
        </is>
      </c>
    </row>
    <row r="4">
      <c r="A4" s="30" t="inlineStr">
        <is>
          <t>Transactions/month</t>
        </is>
      </c>
      <c r="B4" s="35" t="n">
        <v>250</v>
      </c>
      <c r="C4" s="35" t="n">
        <v>500</v>
      </c>
      <c r="D4" s="35" t="n">
        <v>1000</v>
      </c>
      <c r="E4" s="35" t="n">
        <v>1500</v>
      </c>
      <c r="F4" s="35" t="n">
        <v>3000</v>
      </c>
      <c r="G4" s="35" t="n">
        <v>10000</v>
      </c>
    </row>
    <row r="5">
      <c r="A5" s="36" t="n">
        <v>10000</v>
      </c>
      <c r="B5" s="37">
        <f>IF(($A5*(c_build*B$4-c_build)-maint_monthly)&lt;=0,"Never",MAX(build_months,(build_months*(loaded_monthly*overrun_factor+delay_cost_mo-maint_monthly-$A5*c_build)-upfront_buy)/($A5*(c_build*B$4-c_build)-maint_monthly)))</f>
        <v/>
      </c>
      <c r="C5" s="37">
        <f>IF(($A5*(c_build*C$4-c_build)-maint_monthly)&lt;=0,"Never",MAX(build_months,(build_months*(loaded_monthly*overrun_factor+delay_cost_mo-maint_monthly-$A5*c_build)-upfront_buy)/($A5*(c_build*C$4-c_build)-maint_monthly)))</f>
        <v/>
      </c>
      <c r="D5" s="37">
        <f>IF(($A5*(c_build*D$4-c_build)-maint_monthly)&lt;=0,"Never",MAX(build_months,(build_months*(loaded_monthly*overrun_factor+delay_cost_mo-maint_monthly-$A5*c_build)-upfront_buy)/($A5*(c_build*D$4-c_build)-maint_monthly)))</f>
        <v/>
      </c>
      <c r="E5" s="37">
        <f>IF(($A5*(c_build*E$4-c_build)-maint_monthly)&lt;=0,"Never",MAX(build_months,(build_months*(loaded_monthly*overrun_factor+delay_cost_mo-maint_monthly-$A5*c_build)-upfront_buy)/($A5*(c_build*E$4-c_build)-maint_monthly)))</f>
        <v/>
      </c>
      <c r="F5" s="37">
        <f>IF(($A5*(c_build*F$4-c_build)-maint_monthly)&lt;=0,"Never",MAX(build_months,(build_months*(loaded_monthly*overrun_factor+delay_cost_mo-maint_monthly-$A5*c_build)-upfront_buy)/($A5*(c_build*F$4-c_build)-maint_monthly)))</f>
        <v/>
      </c>
      <c r="G5" s="37">
        <f>IF(($A5*(c_build*G$4-c_build)-maint_monthly)&lt;=0,"Never",MAX(build_months,(build_months*(loaded_monthly*overrun_factor+delay_cost_mo-maint_monthly-$A5*c_build)-upfront_buy)/($A5*(c_build*G$4-c_build)-maint_monthly)))</f>
        <v/>
      </c>
    </row>
    <row r="6">
      <c r="A6" s="36" t="n">
        <v>50000</v>
      </c>
      <c r="B6" s="37">
        <f>IF(($A6*(c_build*B$4-c_build)-maint_monthly)&lt;=0,"Never",MAX(build_months,(build_months*(loaded_monthly*overrun_factor+delay_cost_mo-maint_monthly-$A6*c_build)-upfront_buy)/($A6*(c_build*B$4-c_build)-maint_monthly)))</f>
        <v/>
      </c>
      <c r="C6" s="37">
        <f>IF(($A6*(c_build*C$4-c_build)-maint_monthly)&lt;=0,"Never",MAX(build_months,(build_months*(loaded_monthly*overrun_factor+delay_cost_mo-maint_monthly-$A6*c_build)-upfront_buy)/($A6*(c_build*C$4-c_build)-maint_monthly)))</f>
        <v/>
      </c>
      <c r="D6" s="37">
        <f>IF(($A6*(c_build*D$4-c_build)-maint_monthly)&lt;=0,"Never",MAX(build_months,(build_months*(loaded_monthly*overrun_factor+delay_cost_mo-maint_monthly-$A6*c_build)-upfront_buy)/($A6*(c_build*D$4-c_build)-maint_monthly)))</f>
        <v/>
      </c>
      <c r="E6" s="37">
        <f>IF(($A6*(c_build*E$4-c_build)-maint_monthly)&lt;=0,"Never",MAX(build_months,(build_months*(loaded_monthly*overrun_factor+delay_cost_mo-maint_monthly-$A6*c_build)-upfront_buy)/($A6*(c_build*E$4-c_build)-maint_monthly)))</f>
        <v/>
      </c>
      <c r="F6" s="37">
        <f>IF(($A6*(c_build*F$4-c_build)-maint_monthly)&lt;=0,"Never",MAX(build_months,(build_months*(loaded_monthly*overrun_factor+delay_cost_mo-maint_monthly-$A6*c_build)-upfront_buy)/($A6*(c_build*F$4-c_build)-maint_monthly)))</f>
        <v/>
      </c>
      <c r="G6" s="37">
        <f>IF(($A6*(c_build*G$4-c_build)-maint_monthly)&lt;=0,"Never",MAX(build_months,(build_months*(loaded_monthly*overrun_factor+delay_cost_mo-maint_monthly-$A6*c_build)-upfront_buy)/($A6*(c_build*G$4-c_build)-maint_monthly)))</f>
        <v/>
      </c>
    </row>
    <row r="7">
      <c r="A7" s="36" t="n">
        <v>250000</v>
      </c>
      <c r="B7" s="37">
        <f>IF(($A7*(c_build*B$4-c_build)-maint_monthly)&lt;=0,"Never",MAX(build_months,(build_months*(loaded_monthly*overrun_factor+delay_cost_mo-maint_monthly-$A7*c_build)-upfront_buy)/($A7*(c_build*B$4-c_build)-maint_monthly)))</f>
        <v/>
      </c>
      <c r="C7" s="37">
        <f>IF(($A7*(c_build*C$4-c_build)-maint_monthly)&lt;=0,"Never",MAX(build_months,(build_months*(loaded_monthly*overrun_factor+delay_cost_mo-maint_monthly-$A7*c_build)-upfront_buy)/($A7*(c_build*C$4-c_build)-maint_monthly)))</f>
        <v/>
      </c>
      <c r="D7" s="37">
        <f>IF(($A7*(c_build*D$4-c_build)-maint_monthly)&lt;=0,"Never",MAX(build_months,(build_months*(loaded_monthly*overrun_factor+delay_cost_mo-maint_monthly-$A7*c_build)-upfront_buy)/($A7*(c_build*D$4-c_build)-maint_monthly)))</f>
        <v/>
      </c>
      <c r="E7" s="37">
        <f>IF(($A7*(c_build*E$4-c_build)-maint_monthly)&lt;=0,"Never",MAX(build_months,(build_months*(loaded_monthly*overrun_factor+delay_cost_mo-maint_monthly-$A7*c_build)-upfront_buy)/($A7*(c_build*E$4-c_build)-maint_monthly)))</f>
        <v/>
      </c>
      <c r="F7" s="37">
        <f>IF(($A7*(c_build*F$4-c_build)-maint_monthly)&lt;=0,"Never",MAX(build_months,(build_months*(loaded_monthly*overrun_factor+delay_cost_mo-maint_monthly-$A7*c_build)-upfront_buy)/($A7*(c_build*F$4-c_build)-maint_monthly)))</f>
        <v/>
      </c>
      <c r="G7" s="37">
        <f>IF(($A7*(c_build*G$4-c_build)-maint_monthly)&lt;=0,"Never",MAX(build_months,(build_months*(loaded_monthly*overrun_factor+delay_cost_mo-maint_monthly-$A7*c_build)-upfront_buy)/($A7*(c_build*G$4-c_build)-maint_monthly)))</f>
        <v/>
      </c>
    </row>
    <row r="8">
      <c r="A8" s="36" t="n">
        <v>1000000</v>
      </c>
      <c r="B8" s="37">
        <f>IF(($A8*(c_build*B$4-c_build)-maint_monthly)&lt;=0,"Never",MAX(build_months,(build_months*(loaded_monthly*overrun_factor+delay_cost_mo-maint_monthly-$A8*c_build)-upfront_buy)/($A8*(c_build*B$4-c_build)-maint_monthly)))</f>
        <v/>
      </c>
      <c r="C8" s="37">
        <f>IF(($A8*(c_build*C$4-c_build)-maint_monthly)&lt;=0,"Never",MAX(build_months,(build_months*(loaded_monthly*overrun_factor+delay_cost_mo-maint_monthly-$A8*c_build)-upfront_buy)/($A8*(c_build*C$4-c_build)-maint_monthly)))</f>
        <v/>
      </c>
      <c r="D8" s="37">
        <f>IF(($A8*(c_build*D$4-c_build)-maint_monthly)&lt;=0,"Never",MAX(build_months,(build_months*(loaded_monthly*overrun_factor+delay_cost_mo-maint_monthly-$A8*c_build)-upfront_buy)/($A8*(c_build*D$4-c_build)-maint_monthly)))</f>
        <v/>
      </c>
      <c r="E8" s="37">
        <f>IF(($A8*(c_build*E$4-c_build)-maint_monthly)&lt;=0,"Never",MAX(build_months,(build_months*(loaded_monthly*overrun_factor+delay_cost_mo-maint_monthly-$A8*c_build)-upfront_buy)/($A8*(c_build*E$4-c_build)-maint_monthly)))</f>
        <v/>
      </c>
      <c r="F8" s="37">
        <f>IF(($A8*(c_build*F$4-c_build)-maint_monthly)&lt;=0,"Never",MAX(build_months,(build_months*(loaded_monthly*overrun_factor+delay_cost_mo-maint_monthly-$A8*c_build)-upfront_buy)/($A8*(c_build*F$4-c_build)-maint_monthly)))</f>
        <v/>
      </c>
      <c r="G8" s="37">
        <f>IF(($A8*(c_build*G$4-c_build)-maint_monthly)&lt;=0,"Never",MAX(build_months,(build_months*(loaded_monthly*overrun_factor+delay_cost_mo-maint_monthly-$A8*c_build)-upfront_buy)/($A8*(c_build*G$4-c_build)-maint_monthly)))</f>
        <v/>
      </c>
    </row>
    <row r="9">
      <c r="A9" s="36" t="n">
        <v>5000000</v>
      </c>
      <c r="B9" s="37">
        <f>IF(($A9*(c_build*B$4-c_build)-maint_monthly)&lt;=0,"Never",MAX(build_months,(build_months*(loaded_monthly*overrun_factor+delay_cost_mo-maint_monthly-$A9*c_build)-upfront_buy)/($A9*(c_build*B$4-c_build)-maint_monthly)))</f>
        <v/>
      </c>
      <c r="C9" s="37">
        <f>IF(($A9*(c_build*C$4-c_build)-maint_monthly)&lt;=0,"Never",MAX(build_months,(build_months*(loaded_monthly*overrun_factor+delay_cost_mo-maint_monthly-$A9*c_build)-upfront_buy)/($A9*(c_build*C$4-c_build)-maint_monthly)))</f>
        <v/>
      </c>
      <c r="D9" s="37">
        <f>IF(($A9*(c_build*D$4-c_build)-maint_monthly)&lt;=0,"Never",MAX(build_months,(build_months*(loaded_monthly*overrun_factor+delay_cost_mo-maint_monthly-$A9*c_build)-upfront_buy)/($A9*(c_build*D$4-c_build)-maint_monthly)))</f>
        <v/>
      </c>
      <c r="E9" s="37">
        <f>IF(($A9*(c_build*E$4-c_build)-maint_monthly)&lt;=0,"Never",MAX(build_months,(build_months*(loaded_monthly*overrun_factor+delay_cost_mo-maint_monthly-$A9*c_build)-upfront_buy)/($A9*(c_build*E$4-c_build)-maint_monthly)))</f>
        <v/>
      </c>
      <c r="F9" s="37">
        <f>IF(($A9*(c_build*F$4-c_build)-maint_monthly)&lt;=0,"Never",MAX(build_months,(build_months*(loaded_monthly*overrun_factor+delay_cost_mo-maint_monthly-$A9*c_build)-upfront_buy)/($A9*(c_build*F$4-c_build)-maint_monthly)))</f>
        <v/>
      </c>
      <c r="G9" s="37">
        <f>IF(($A9*(c_build*G$4-c_build)-maint_monthly)&lt;=0,"Never",MAX(build_months,(build_months*(loaded_monthly*overrun_factor+delay_cost_mo-maint_monthly-$A9*c_build)-upfront_buy)/($A9*(c_build*G$4-c_build)-maint_monthly)))</f>
        <v/>
      </c>
    </row>
    <row r="10">
      <c r="A10" s="36" t="n">
        <v>25000000</v>
      </c>
      <c r="B10" s="37">
        <f>IF(($A10*(c_build*B$4-c_build)-maint_monthly)&lt;=0,"Never",MAX(build_months,(build_months*(loaded_monthly*overrun_factor+delay_cost_mo-maint_monthly-$A10*c_build)-upfront_buy)/($A10*(c_build*B$4-c_build)-maint_monthly)))</f>
        <v/>
      </c>
      <c r="C10" s="37">
        <f>IF(($A10*(c_build*C$4-c_build)-maint_monthly)&lt;=0,"Never",MAX(build_months,(build_months*(loaded_monthly*overrun_factor+delay_cost_mo-maint_monthly-$A10*c_build)-upfront_buy)/($A10*(c_build*C$4-c_build)-maint_monthly)))</f>
        <v/>
      </c>
      <c r="D10" s="37">
        <f>IF(($A10*(c_build*D$4-c_build)-maint_monthly)&lt;=0,"Never",MAX(build_months,(build_months*(loaded_monthly*overrun_factor+delay_cost_mo-maint_monthly-$A10*c_build)-upfront_buy)/($A10*(c_build*D$4-c_build)-maint_monthly)))</f>
        <v/>
      </c>
      <c r="E10" s="37">
        <f>IF(($A10*(c_build*E$4-c_build)-maint_monthly)&lt;=0,"Never",MAX(build_months,(build_months*(loaded_monthly*overrun_factor+delay_cost_mo-maint_monthly-$A10*c_build)-upfront_buy)/($A10*(c_build*E$4-c_build)-maint_monthly)))</f>
        <v/>
      </c>
      <c r="F10" s="37">
        <f>IF(($A10*(c_build*F$4-c_build)-maint_monthly)&lt;=0,"Never",MAX(build_months,(build_months*(loaded_monthly*overrun_factor+delay_cost_mo-maint_monthly-$A10*c_build)-upfront_buy)/($A10*(c_build*F$4-c_build)-maint_monthly)))</f>
        <v/>
      </c>
      <c r="G10" s="37">
        <f>IF(($A10*(c_build*G$4-c_build)-maint_monthly)&lt;=0,"Never",MAX(build_months,(build_months*(loaded_monthly*overrun_factor+delay_cost_mo-maint_monthly-$A10*c_build)-upfront_buy)/($A10*(c_build*G$4-c_build)-maint_monthly)))</f>
        <v/>
      </c>
    </row>
    <row r="11">
      <c r="A11" s="36" t="n">
        <v>100000000</v>
      </c>
      <c r="B11" s="37">
        <f>IF(($A11*(c_build*B$4-c_build)-maint_monthly)&lt;=0,"Never",MAX(build_months,(build_months*(loaded_monthly*overrun_factor+delay_cost_mo-maint_monthly-$A11*c_build)-upfront_buy)/($A11*(c_build*B$4-c_build)-maint_monthly)))</f>
        <v/>
      </c>
      <c r="C11" s="37">
        <f>IF(($A11*(c_build*C$4-c_build)-maint_monthly)&lt;=0,"Never",MAX(build_months,(build_months*(loaded_monthly*overrun_factor+delay_cost_mo-maint_monthly-$A11*c_build)-upfront_buy)/($A11*(c_build*C$4-c_build)-maint_monthly)))</f>
        <v/>
      </c>
      <c r="D11" s="37">
        <f>IF(($A11*(c_build*D$4-c_build)-maint_monthly)&lt;=0,"Never",MAX(build_months,(build_months*(loaded_monthly*overrun_factor+delay_cost_mo-maint_monthly-$A11*c_build)-upfront_buy)/($A11*(c_build*D$4-c_build)-maint_monthly)))</f>
        <v/>
      </c>
      <c r="E11" s="37">
        <f>IF(($A11*(c_build*E$4-c_build)-maint_monthly)&lt;=0,"Never",MAX(build_months,(build_months*(loaded_monthly*overrun_factor+delay_cost_mo-maint_monthly-$A11*c_build)-upfront_buy)/($A11*(c_build*E$4-c_build)-maint_monthly)))</f>
        <v/>
      </c>
      <c r="F11" s="37">
        <f>IF(($A11*(c_build*F$4-c_build)-maint_monthly)&lt;=0,"Never",MAX(build_months,(build_months*(loaded_monthly*overrun_factor+delay_cost_mo-maint_monthly-$A11*c_build)-upfront_buy)/($A11*(c_build*F$4-c_build)-maint_monthly)))</f>
        <v/>
      </c>
      <c r="G11" s="37">
        <f>IF(($A11*(c_build*G$4-c_build)-maint_monthly)&lt;=0,"Never",MAX(build_months,(build_months*(loaded_monthly*overrun_factor+delay_cost_mo-maint_monthly-$A11*c_build)-upfront_buy)/($A11*(c_build*G$4-c_build)-maint_monthly)))</f>
        <v/>
      </c>
    </row>
  </sheetData>
  <printOptions horizontalCentered="0"/>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H30"/>
  <sheetViews>
    <sheetView workbookViewId="0">
      <selection activeCell="A1" sqref="A1"/>
    </sheetView>
  </sheetViews>
  <sheetFormatPr baseColWidth="8" defaultRowHeight="15"/>
  <cols>
    <col width="8" customWidth="1" min="1" max="1"/>
    <col width="44" customWidth="1" min="2" max="2"/>
    <col width="16" customWidth="1" min="3" max="3"/>
    <col width="16" customWidth="1" min="4" max="4"/>
    <col width="46" customWidth="1" min="5" max="5"/>
    <col width="52" customWidth="1" min="6" max="6"/>
    <col width="12" customWidth="1" min="7" max="7"/>
    <col width="96" customWidth="1" min="8" max="8"/>
  </cols>
  <sheetData>
    <row r="1">
      <c r="A1" s="1" t="inlineStr">
        <is>
          <t>Assumptions and Sources</t>
        </is>
      </c>
    </row>
    <row r="2">
      <c r="A2" s="4" t="inlineStr">
        <is>
          <t>Every default in this workbook traces to a row here. Re-run verify-breakeven-workbook.py to check these are still live and current.</t>
        </is>
      </c>
    </row>
    <row r="4">
      <c r="A4" s="38" t="inlineStr">
        <is>
          <t>ID</t>
        </is>
      </c>
      <c r="B4" s="38" t="inlineStr">
        <is>
          <t>Item</t>
        </is>
      </c>
      <c r="C4" s="38" t="inlineStr">
        <is>
          <t>Value</t>
        </is>
      </c>
      <c r="D4" s="38" t="inlineStr">
        <is>
          <t>Unit</t>
        </is>
      </c>
      <c r="E4" s="38" t="inlineStr">
        <is>
          <t>Source</t>
        </is>
      </c>
      <c r="F4" s="38" t="inlineStr">
        <is>
          <t>URL</t>
        </is>
      </c>
      <c r="G4" s="38" t="inlineStr">
        <is>
          <t>Date pulled</t>
        </is>
      </c>
      <c r="H4" s="38" t="inlineStr">
        <is>
          <t>Note</t>
        </is>
      </c>
    </row>
    <row r="5" ht="30" customHeight="1">
      <c r="A5" s="39" t="inlineStr">
        <is>
          <t>A-01</t>
        </is>
      </c>
      <c r="B5" s="40" t="inlineStr">
        <is>
          <t>Salary loading multiplier (wages to employer cost)</t>
        </is>
      </c>
      <c r="C5" s="41" t="n">
        <v>1.4445</v>
      </c>
      <c r="D5" s="40" t="inlineStr">
        <is>
          <t>multiplier</t>
        </is>
      </c>
      <c r="E5" s="40" t="inlineStr">
        <is>
          <t>BLS Employer Costs for Employee Compensation, Q1 2026</t>
        </is>
      </c>
      <c r="F5" s="42" t="inlineStr">
        <is>
          <t>https://www.bls.gov/news.release/ecec.nr0.htm</t>
        </is>
      </c>
      <c r="G5" s="40" t="inlineStr">
        <is>
          <t>2026-08-17</t>
        </is>
      </c>
      <c r="H5" s="43" t="inlineStr">
        <is>
          <t>Management, professional and related occupations: $72.99 total comp / $50.53 wages. COMPENSATION ONLY. Excludes facilities, equipment, licences, recruiting. A floor.</t>
        </is>
      </c>
    </row>
    <row r="6" ht="30" customHeight="1">
      <c r="A6" s="39" t="inlineStr">
        <is>
          <t>A-02</t>
        </is>
      </c>
      <c r="B6" s="40" t="inlineStr">
        <is>
          <t>Software developer median annual wage</t>
        </is>
      </c>
      <c r="C6" s="41" t="n">
        <v>135980</v>
      </c>
      <c r="D6" s="40" t="inlineStr">
        <is>
          <t>USD/year</t>
        </is>
      </c>
      <c r="E6" s="40" t="inlineStr">
        <is>
          <t>BLS Occupational Employment and Wage Statistics, May 2025</t>
        </is>
      </c>
      <c r="F6" s="42" t="inlineStr">
        <is>
          <t>https://www.bls.gov/news.release/ocwage.t01.htm</t>
        </is>
      </c>
      <c r="G6" s="40" t="inlineStr">
        <is>
          <t>2026-08-17</t>
        </is>
      </c>
      <c r="H6" s="43" t="inlineStr">
        <is>
          <t>National median (n=1,687,890 employed). The mean is $148,100; do not confuse them.</t>
        </is>
      </c>
    </row>
    <row r="7" ht="30" customHeight="1">
      <c r="A7" s="39" t="inlineStr">
        <is>
          <t>A-03</t>
        </is>
      </c>
      <c r="B7" s="40" t="inlineStr">
        <is>
          <t>Project management specialist median annual wage</t>
        </is>
      </c>
      <c r="C7" s="41" t="n">
        <v>102320</v>
      </c>
      <c r="D7" s="40" t="inlineStr">
        <is>
          <t>USD/year</t>
        </is>
      </c>
      <c r="E7" s="40" t="inlineStr">
        <is>
          <t>BLS Occupational Employment and Wage Statistics, May 2025</t>
        </is>
      </c>
      <c r="F7" s="42" t="inlineStr">
        <is>
          <t>https://www.bls.gov/news.release/ocwage.t01.htm</t>
        </is>
      </c>
      <c r="G7" s="40" t="inlineStr">
        <is>
          <t>2026-08-17</t>
        </is>
      </c>
      <c r="H7" s="43" t="inlineStr">
        <is>
          <t>Reference only. National median; the mean is $110,740.</t>
        </is>
      </c>
    </row>
    <row r="8" ht="30" customHeight="1">
      <c r="A8" s="39" t="inlineStr">
        <is>
          <t>A-04</t>
        </is>
      </c>
      <c r="B8" s="40" t="inlineStr">
        <is>
          <t>Discount rate, software sector WACC</t>
        </is>
      </c>
      <c r="C8" s="41" t="n">
        <v>0.0934</v>
      </c>
      <c r="D8" s="40" t="inlineStr">
        <is>
          <t>annual</t>
        </is>
      </c>
      <c r="E8" s="40" t="inlineStr">
        <is>
          <t>Damodaran, NYU Stern, Cost of Capital by Sector, January 2026</t>
        </is>
      </c>
      <c r="F8" s="42" t="inlineStr">
        <is>
          <t>https://pages.stern.nyu.edu/~adamodar/New_Home_Page/datafile/wacc.html</t>
        </is>
      </c>
      <c r="G8" s="40" t="inlineStr">
        <is>
          <t>2026-08-17</t>
        </is>
      </c>
      <c r="H8" s="43" t="inlineStr">
        <is>
          <t>Software (System and Application), n=309 US firms. Total market is 6.96%.</t>
        </is>
      </c>
    </row>
    <row r="9" ht="30" customHeight="1">
      <c r="A9" s="39" t="inlineStr">
        <is>
          <t>A-05</t>
        </is>
      </c>
      <c r="B9" s="40" t="inlineStr">
        <is>
          <t>Build overrun factor, expected</t>
        </is>
      </c>
      <c r="C9" s="41" t="n">
        <v>1.27</v>
      </c>
      <c r="D9" s="40" t="inlineStr">
        <is>
          <t>multiplier</t>
        </is>
      </c>
      <c r="E9" s="40" t="inlineStr">
        <is>
          <t>Flyvbjerg and Budzier, Harvard Business Review, 2011</t>
        </is>
      </c>
      <c r="F9" s="42" t="inlineStr">
        <is>
          <t>https://arxiv.org/abs/1304.0265</t>
        </is>
      </c>
      <c r="G9" s="40" t="inlineStr">
        <is>
          <t>2026-08-17</t>
        </is>
      </c>
      <c r="H9" s="43" t="inlineStr">
        <is>
          <t>Average cost overrun 27% across n=1,471 IT projects.</t>
        </is>
      </c>
    </row>
    <row r="10" ht="30" customHeight="1">
      <c r="A10" s="39" t="inlineStr">
        <is>
          <t>A-06</t>
        </is>
      </c>
      <c r="B10" s="40" t="inlineStr">
        <is>
          <t>Build overrun factor, tail</t>
        </is>
      </c>
      <c r="C10" s="41" t="n">
        <v>3</v>
      </c>
      <c r="D10" s="40" t="inlineStr">
        <is>
          <t>multiplier</t>
        </is>
      </c>
      <c r="E10" s="40" t="inlineStr">
        <is>
          <t>Flyvbjerg and Budzier, Harvard Business Review, 2011</t>
        </is>
      </c>
      <c r="F10" s="42" t="inlineStr">
        <is>
          <t>https://arxiv.org/abs/1304.0265</t>
        </is>
      </c>
      <c r="G10" s="40" t="inlineStr">
        <is>
          <t>2026-08-17</t>
        </is>
      </c>
      <c r="H10" s="43" t="inlineStr">
        <is>
          <t>One in six projects overran 200% on average, with ~70% schedule overrun.</t>
        </is>
      </c>
    </row>
    <row r="11" ht="30" customHeight="1">
      <c r="A11" s="39" t="inlineStr">
        <is>
          <t>A-07</t>
        </is>
      </c>
      <c r="B11" s="40" t="inlineStr">
        <is>
          <t>Overrun distribution shape</t>
        </is>
      </c>
      <c r="C11" s="40" t="inlineStr">
        <is>
          <t>power law</t>
        </is>
      </c>
      <c r="D11" s="40" t="inlineStr">
        <is>
          <t>distribution</t>
        </is>
      </c>
      <c r="E11" s="40" t="inlineStr">
        <is>
          <t>Flyvbjerg et al., Journal of Management Information Systems, 2022</t>
        </is>
      </c>
      <c r="F11" s="42" t="inlineStr">
        <is>
          <t>https://arxiv.org/abs/2210.01573</t>
        </is>
      </c>
      <c r="G11" s="40" t="inlineStr">
        <is>
          <t>2026-08-17</t>
        </is>
      </c>
      <c r="H11" s="43" t="inlineStr">
        <is>
          <t>n=5,392 IT projects. Variance is unstable, so contingency sized from a mean and standard deviation is invalid, not merely optimistic.</t>
        </is>
      </c>
    </row>
    <row r="12" ht="30" customHeight="1">
      <c r="A12" s="39" t="inlineStr">
        <is>
          <t>A-08</t>
        </is>
      </c>
      <c r="B12" s="40" t="inlineStr">
        <is>
          <t>AWS Lambda price per 1M requests</t>
        </is>
      </c>
      <c r="C12" s="41" t="n">
        <v>0.2</v>
      </c>
      <c r="D12" s="40" t="inlineStr">
        <is>
          <t>USD/1M requests</t>
        </is>
      </c>
      <c r="E12" s="40" t="inlineStr">
        <is>
          <t>AWS Lambda pricing, on-demand, US East (N. Virginia)</t>
        </is>
      </c>
      <c r="F12" s="42" t="inlineStr">
        <is>
          <t>https://aws.amazon.com/lambda/pricing/</t>
        </is>
      </c>
      <c r="G12" s="40" t="inlineStr">
        <is>
          <t>2026-08-17</t>
        </is>
      </c>
      <c r="H12" s="43" t="inlineStr">
        <is>
          <t>Excludes data transfer, API Gateway, and logging.</t>
        </is>
      </c>
    </row>
    <row r="13" ht="30" customHeight="1">
      <c r="A13" s="39" t="inlineStr">
        <is>
          <t>A-09</t>
        </is>
      </c>
      <c r="B13" s="40" t="inlineStr">
        <is>
          <t>AWS Lambda price per GB-second</t>
        </is>
      </c>
      <c r="C13" s="44" t="n">
        <v>1.66667e-05</v>
      </c>
      <c r="D13" s="40" t="inlineStr">
        <is>
          <t>USD/GB-s</t>
        </is>
      </c>
      <c r="E13" s="40" t="inlineStr">
        <is>
          <t>AWS Lambda pricing, on-demand, x86, US East (N. Virginia)</t>
        </is>
      </c>
      <c r="F13" s="42" t="inlineStr">
        <is>
          <t>https://aws.amazon.com/lambda/pricing/</t>
        </is>
      </c>
      <c r="G13" s="40" t="inlineStr">
        <is>
          <t>2026-08-17</t>
        </is>
      </c>
      <c r="H13" s="43" t="inlineStr">
        <is>
          <t>Arm (Graviton) is cheaper.</t>
        </is>
      </c>
    </row>
    <row r="14" ht="30" customHeight="1">
      <c r="A14" s="39" t="inlineStr">
        <is>
          <t>A-10</t>
        </is>
      </c>
      <c r="B14" s="40" t="inlineStr">
        <is>
          <t>DynamoDB on-demand write / read request unit price</t>
        </is>
      </c>
      <c r="C14" s="41" t="n">
        <v>0.625</v>
      </c>
      <c r="D14" s="40" t="inlineStr">
        <is>
          <t>USD/1M WRU</t>
        </is>
      </c>
      <c r="E14" s="40" t="inlineStr">
        <is>
          <t>Amazon DynamoDB on-demand pricing, US East (N. Virginia)</t>
        </is>
      </c>
      <c r="F14" s="42" t="inlineStr">
        <is>
          <t>https://aws.amazon.com/dynamodb/pricing/on-demand/</t>
        </is>
      </c>
      <c r="G14" s="40" t="inlineStr">
        <is>
          <t>2026-08-17</t>
        </is>
      </c>
      <c r="H14" s="43" t="inlineStr">
        <is>
          <t>Reads are $0.125/1M RRU. Transactional writes consume 2 WRU. Widely cited secondary sources still say $1.25; that is stale by 2x.</t>
        </is>
      </c>
    </row>
    <row r="15" ht="30" customHeight="1">
      <c r="A15" s="39" t="inlineStr">
        <is>
          <t>A-11</t>
        </is>
      </c>
      <c r="B15" s="40" t="inlineStr">
        <is>
          <t>Claude model prices per million tokens</t>
        </is>
      </c>
      <c r="C15" s="40" t="inlineStr">
        <is>
          <t>see table below</t>
        </is>
      </c>
      <c r="D15" s="40" t="inlineStr">
        <is>
          <t>USD/MTok</t>
        </is>
      </c>
      <c r="E15" s="40" t="inlineStr">
        <is>
          <t>Anthropic, Claude Developer Platform pricing</t>
        </is>
      </c>
      <c r="F15" s="42" t="inlineStr">
        <is>
          <t>https://platform.claude.com/docs/en/about-claude/pricing</t>
        </is>
      </c>
      <c r="G15" s="40" t="inlineStr">
        <is>
          <t>2026-08-17</t>
        </is>
      </c>
      <c r="H15" s="43" t="inlineStr">
        <is>
          <t>Sonnet 5 introductory $2/$10 is now permanent; the scheduled rise to $3/$15 will not occur.</t>
        </is>
      </c>
    </row>
    <row r="16" ht="30" customHeight="1">
      <c r="A16" s="39" t="inlineStr">
        <is>
          <t>A-12</t>
        </is>
      </c>
      <c r="B16" s="40" t="inlineStr">
        <is>
          <t>Prompt cache read multiplier</t>
        </is>
      </c>
      <c r="C16" s="41" t="n">
        <v>0.1</v>
      </c>
      <c r="D16" s="40" t="inlineStr">
        <is>
          <t>x base input</t>
        </is>
      </c>
      <c r="E16" s="40" t="inlineStr">
        <is>
          <t>Anthropic, Claude Developer Platform pricing</t>
        </is>
      </c>
      <c r="F16" s="42" t="inlineStr">
        <is>
          <t>https://platform.claude.com/docs/en/about-claude/pricing</t>
        </is>
      </c>
      <c r="G16" s="40" t="inlineStr">
        <is>
          <t>2026-08-17</t>
        </is>
      </c>
      <c r="H16" s="43" t="inlineStr">
        <is>
          <t>A cache hit costs 10% of standard input price.</t>
        </is>
      </c>
    </row>
    <row r="17" ht="30" customHeight="1">
      <c r="A17" s="39" t="inlineStr">
        <is>
          <t>A-13</t>
        </is>
      </c>
      <c r="B17" s="40" t="inlineStr">
        <is>
          <t>Batch API discount</t>
        </is>
      </c>
      <c r="C17" s="41" t="n">
        <v>0.5</v>
      </c>
      <c r="D17" s="40" t="inlineStr">
        <is>
          <t>fraction off</t>
        </is>
      </c>
      <c r="E17" s="40" t="inlineStr">
        <is>
          <t>Anthropic, Claude Developer Platform pricing</t>
        </is>
      </c>
      <c r="F17" s="42" t="inlineStr">
        <is>
          <t>https://platform.claude.com/docs/en/about-claude/pricing</t>
        </is>
      </c>
      <c r="G17" s="40" t="inlineStr">
        <is>
          <t>2026-08-17</t>
        </is>
      </c>
      <c r="H17" s="43" t="inlineStr">
        <is>
          <t>50% off both input and output. Stacks with prompt caching.</t>
        </is>
      </c>
    </row>
    <row r="18" ht="30" customHeight="1">
      <c r="A18" s="39" t="inlineStr">
        <is>
          <t>A-14</t>
        </is>
      </c>
      <c r="B18" s="40" t="inlineStr">
        <is>
          <t>Maintenance cost driver</t>
        </is>
      </c>
      <c r="C18" s="40" t="inlineStr">
        <is>
          <t>project characteristics</t>
        </is>
      </c>
      <c r="D18" s="40" t="inlineStr">
        <is>
          <t>qualitative</t>
        </is>
      </c>
      <c r="E18" s="40" t="inlineStr">
        <is>
          <t>Dehaghani and Hajrahimi, Acta Informatica Medica, 2013</t>
        </is>
      </c>
      <c r="F18" s="42" t="inlineStr">
        <is>
          <t>https://pmc.ncbi.nlm.nih.gov/articles/PMC3610582/</t>
        </is>
      </c>
      <c r="G18" s="40" t="inlineStr">
        <is>
          <t>2026-08-17</t>
        </is>
      </c>
      <c r="H18" s="43" t="inlineStr">
        <is>
          <t>NO peer-reviewed source exists for the common '15-20% of build cost per year' rule. That is why this workbook takes maintenance as headcount and OUTPUTS the percentage.</t>
        </is>
      </c>
    </row>
    <row r="21">
      <c r="A21" s="2" t="inlineStr">
        <is>
          <t>Supporting rate tables</t>
        </is>
      </c>
    </row>
    <row r="22">
      <c r="A22" t="inlineStr">
        <is>
          <t>DynamoDB read request unit price</t>
        </is>
      </c>
      <c r="C22" s="45" t="n">
        <v>0.125</v>
      </c>
      <c r="D22" t="inlineStr">
        <is>
          <t>USD/1M RRU</t>
        </is>
      </c>
      <c r="E22" t="inlineStr">
        <is>
          <t>A-10</t>
        </is>
      </c>
    </row>
    <row r="24">
      <c r="A24" s="30" t="inlineStr">
        <is>
          <t>Model</t>
        </is>
      </c>
      <c r="B24" s="30" t="inlineStr">
        <is>
          <t>Input USD/MTok</t>
        </is>
      </c>
      <c r="C24" s="30" t="inlineStr">
        <is>
          <t>Output USD/MTok</t>
        </is>
      </c>
    </row>
    <row r="25">
      <c r="A25" s="40" t="inlineStr">
        <is>
          <t>Claude Haiku 4.5</t>
        </is>
      </c>
      <c r="B25" s="40" t="n">
        <v>1</v>
      </c>
      <c r="C25" s="40" t="n">
        <v>5</v>
      </c>
    </row>
    <row r="26">
      <c r="A26" s="40" t="inlineStr">
        <is>
          <t>Claude Sonnet 5</t>
        </is>
      </c>
      <c r="B26" s="40" t="n">
        <v>2</v>
      </c>
      <c r="C26" s="40" t="n">
        <v>10</v>
      </c>
    </row>
    <row r="27">
      <c r="A27" s="40" t="inlineStr">
        <is>
          <t>Claude Opus 5</t>
        </is>
      </c>
      <c r="B27" s="40" t="n">
        <v>5</v>
      </c>
      <c r="C27" s="40" t="n">
        <v>25</v>
      </c>
    </row>
    <row r="28">
      <c r="A28" s="40" t="inlineStr">
        <is>
          <t>Claude Fable 5</t>
        </is>
      </c>
      <c r="B28" s="40" t="n">
        <v>10</v>
      </c>
      <c r="C28" s="40" t="n">
        <v>50</v>
      </c>
    </row>
    <row r="30">
      <c r="A30" s="4" t="inlineStr">
        <is>
          <t>Overrun scenarios: 1.00 your estimate holds, 1.27 average IT overrun (A-05), 3.00 the one-in-six tail (A-06). Distribution is a power law (A-07), so the tail is not an outlier to be ignored.</t>
        </is>
      </c>
    </row>
  </sheetData>
  <hyperlinks>
    <hyperlink xmlns:r="http://schemas.openxmlformats.org/officeDocument/2006/relationships" ref="F5" r:id="rId1"/>
    <hyperlink xmlns:r="http://schemas.openxmlformats.org/officeDocument/2006/relationships" ref="F6" r:id="rId2"/>
    <hyperlink xmlns:r="http://schemas.openxmlformats.org/officeDocument/2006/relationships" ref="F7" r:id="rId3"/>
    <hyperlink xmlns:r="http://schemas.openxmlformats.org/officeDocument/2006/relationships" ref="F8" r:id="rId4"/>
    <hyperlink xmlns:r="http://schemas.openxmlformats.org/officeDocument/2006/relationships" ref="F9" r:id="rId5"/>
    <hyperlink xmlns:r="http://schemas.openxmlformats.org/officeDocument/2006/relationships" ref="F10" r:id="rId6"/>
    <hyperlink xmlns:r="http://schemas.openxmlformats.org/officeDocument/2006/relationships" ref="F11" r:id="rId7"/>
    <hyperlink xmlns:r="http://schemas.openxmlformats.org/officeDocument/2006/relationships" ref="F12" r:id="rId8"/>
    <hyperlink xmlns:r="http://schemas.openxmlformats.org/officeDocument/2006/relationships" ref="F13" r:id="rId9"/>
    <hyperlink xmlns:r="http://schemas.openxmlformats.org/officeDocument/2006/relationships" ref="F14" r:id="rId10"/>
    <hyperlink xmlns:r="http://schemas.openxmlformats.org/officeDocument/2006/relationships" ref="F15" r:id="rId11"/>
    <hyperlink xmlns:r="http://schemas.openxmlformats.org/officeDocument/2006/relationships" ref="F16" r:id="rId12"/>
    <hyperlink xmlns:r="http://schemas.openxmlformats.org/officeDocument/2006/relationships" ref="F17" r:id="rId13"/>
    <hyperlink xmlns:r="http://schemas.openxmlformats.org/officeDocument/2006/relationships" ref="F18" r:id="rId14"/>
  </hyperlinks>
  <printOptions horizontalCentered="0"/>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B17"/>
  <sheetViews>
    <sheetView workbookViewId="0">
      <selection activeCell="A1" sqref="A1"/>
    </sheetView>
  </sheetViews>
  <sheetFormatPr baseColWidth="8" defaultRowHeight="15"/>
  <cols>
    <col width="22" customWidth="1" min="1" max="1"/>
    <col width="100" customWidth="1" min="2" max="2"/>
  </cols>
  <sheetData>
    <row r="1">
      <c r="A1" s="1" t="inlineStr">
        <is>
          <t>Legend and glossary</t>
        </is>
      </c>
    </row>
    <row r="3">
      <c r="A3" s="2" t="inlineStr">
        <is>
          <t>Cell colours</t>
        </is>
      </c>
    </row>
    <row r="4">
      <c r="A4" s="46" t="inlineStr">
        <is>
          <t>Blue</t>
        </is>
      </c>
      <c r="B4" t="inlineStr">
        <is>
          <t>Your input. Change these freely.</t>
        </is>
      </c>
    </row>
    <row r="5">
      <c r="A5" s="47" t="inlineStr">
        <is>
          <t>Grey</t>
        </is>
      </c>
      <c r="B5" t="inlineStr">
        <is>
          <t>Formula. Do not type over these.</t>
        </is>
      </c>
    </row>
    <row r="6">
      <c r="A6" s="48" t="inlineStr">
        <is>
          <t>Red</t>
        </is>
      </c>
      <c r="B6" t="inlineStr">
        <is>
          <t>Must be set before you trust the answer.</t>
        </is>
      </c>
    </row>
    <row r="7">
      <c r="A7" s="49" t="inlineStr">
        <is>
          <t>Amber</t>
        </is>
      </c>
      <c r="B7" t="inlineStr">
        <is>
          <t>Headline output on the decision tile.</t>
        </is>
      </c>
    </row>
    <row r="9">
      <c r="A9" s="2" t="inlineStr">
        <is>
          <t>Glossary</t>
        </is>
      </c>
    </row>
    <row r="10" ht="30" customHeight="1">
      <c r="A10" s="7" t="inlineStr">
        <is>
          <t>Break-even month</t>
        </is>
      </c>
      <c r="B10" s="3" t="inlineStr">
        <is>
          <t>The month at which cumulative build cost drops below cumulative buy cost. 'Never' means it does not happen at any horizon at your current volume.</t>
        </is>
      </c>
    </row>
    <row r="11" ht="30" customHeight="1">
      <c r="A11" s="7" t="inlineStr">
        <is>
          <t>Break-even volume</t>
        </is>
      </c>
      <c r="B11" s="3" t="inlineStr">
        <is>
          <t>Transactions per month at which the two paths cost the same over your horizon.</t>
        </is>
      </c>
    </row>
    <row r="12" ht="30" customHeight="1">
      <c r="A12" s="7" t="inlineStr">
        <is>
          <t>Loading multiplier</t>
        </is>
      </c>
      <c r="B12" s="3" t="inlineStr">
        <is>
          <t>Wages to total employer cost. Compensation only: it excludes facilities, equipment, licences and recruiting, so your true burden is higher.</t>
        </is>
      </c>
    </row>
    <row r="13" ht="30" customHeight="1">
      <c r="A13" s="7" t="inlineStr">
        <is>
          <t>Multiplier</t>
        </is>
      </c>
      <c r="B13" s="3" t="inlineStr">
        <is>
          <t>Buy cost per transaction divided by build cost per transaction. This is an OUTPUT of two rate cards, not a constant you should assume.</t>
        </is>
      </c>
    </row>
    <row r="14" ht="30" customHeight="1">
      <c r="A14" s="7" t="inlineStr">
        <is>
          <t>Overrun factor</t>
        </is>
      </c>
      <c r="B14" s="3" t="inlineStr">
        <is>
          <t>How much more the build actually costs than estimated. IT overruns follow a power law, so the tail is a real scenario rather than a worst case to dismiss.</t>
        </is>
      </c>
    </row>
    <row r="15" ht="30" customHeight="1">
      <c r="A15" s="7" t="inlineStr">
        <is>
          <t>Cost of delay</t>
        </is>
      </c>
      <c r="B15" s="3" t="inlineStr">
        <is>
          <t>What one month of not having the capability costs you: lost revenue or unrealised savings. Usually the largest omitted term in build-vs-buy maths.</t>
        </is>
      </c>
    </row>
    <row r="16" ht="30" customHeight="1">
      <c r="A16" s="7" t="inlineStr">
        <is>
          <t>NPV</t>
        </is>
      </c>
      <c r="B16" s="3" t="inlineStr">
        <is>
          <t>Net present value. Future money discounted to today at your cost of capital.</t>
        </is>
      </c>
    </row>
    <row r="17" ht="30" customHeight="1">
      <c r="A17" s="7" t="inlineStr">
        <is>
          <t>FTE</t>
        </is>
      </c>
      <c r="B17" s="3" t="inlineStr">
        <is>
          <t>Full-time equivalent. One FTE is one person working full time.</t>
        </is>
      </c>
    </row>
  </sheetData>
  <printOptions horizontalCentered="0"/>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2026-08-17T11:21:20Z</dcterms:created>
  <dcterms:modified xmlns:dcterms="http://purl.org/dc/terms/" xmlns:xsi="http://www.w3.org/2001/XMLSchema-instance" xsi:type="dcterms:W3CDTF">2026-08-17T11:21:20Z</dcterms:modified>
</cp:coreProperties>
</file>