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README" sheetId="1" state="visible" r:id="rId3"/>
    <sheet name="Vehicles" sheetId="2" state="visible" r:id="rId4"/>
    <sheet name="Assumptions" sheetId="3" state="visible" r:id="rId5"/>
    <sheet name="Model" sheetId="4" state="visible" r:id="rId6"/>
    <sheet name="Ranking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<sst xmlns="http://schemas.openxmlformats.org/spreadsheetml/2006/main" count="1375" uniqueCount="223">
  <si>
    <t xml:space="preserve">Car Buy vs Lease Planner</t>
  </si>
  <si>
    <t xml:space="preserve">This workbook is generated.</t>
  </si>
  <si>
    <t xml:space="preserve">Do not edit it by hand.</t>
  </si>
  <si>
    <t xml:space="preserve">Regenerate with</t>
  </si>
  <si>
    <t xml:space="preserve">python3 scripts/build_planner_workbook.py</t>
  </si>
  <si>
    <t xml:space="preserve">Vehicle facts</t>
  </si>
  <si>
    <t xml:space="preserve">Kelley Blue Book for efficiency and ten year resale values,</t>
  </si>
  <si>
    <t xml:space="preserve">Edmunds for lease terms. Researched by hand.</t>
  </si>
  <si>
    <t xml:space="preserve">Residual values</t>
  </si>
  <si>
    <t xml:space="preserve">Modelled as a percentage of MSRP, not quoted from a lease contract.</t>
  </si>
  <si>
    <t xml:space="preserve">See the Assumptions tab.</t>
  </si>
  <si>
    <t xml:space="preserve">Cost baselines</t>
  </si>
  <si>
    <t xml:space="preserve">AAA Your Driving Costs for insurance, maintenance, repair and tires.</t>
  </si>
  <si>
    <t xml:space="preserve">EIA for fuel and electricity prices.</t>
  </si>
  <si>
    <t xml:space="preserve">Not modelled</t>
  </si>
  <si>
    <t xml:space="preserve">Trade-in equity, credit tier variation, negotiated money factors,</t>
  </si>
  <si>
    <t xml:space="preserve">state by state tax and registration beyond a single rate,</t>
  </si>
  <si>
    <t xml:space="preserve">and colour or trim resale premiums.</t>
  </si>
  <si>
    <t xml:space="preserve">brand</t>
  </si>
  <si>
    <t xml:space="preserve">model</t>
  </si>
  <si>
    <t xml:space="preserve">body</t>
  </si>
  <si>
    <t xml:space="preserve">powertrain</t>
  </si>
  <si>
    <t xml:space="preserve">is_ev</t>
  </si>
  <si>
    <t xml:space="preserve">drivetrain</t>
  </si>
  <si>
    <t xml:space="preserve">cargo_volume</t>
  </si>
  <si>
    <t xml:space="preserve">msrp</t>
  </si>
  <si>
    <t xml:space="preserve">lease_down</t>
  </si>
  <si>
    <t xml:space="preserve">lease_pmt</t>
  </si>
  <si>
    <t xml:space="preserve">lease_term_mo</t>
  </si>
  <si>
    <t xml:space="preserve">mpg_combined</t>
  </si>
  <si>
    <t xml:space="preserve">terminal_value_10yr</t>
  </si>
  <si>
    <t xml:space="preserve">Subaru</t>
  </si>
  <si>
    <t xml:space="preserve">Solterra - Touring</t>
  </si>
  <si>
    <t xml:space="preserve">car</t>
  </si>
  <si>
    <t xml:space="preserve">ev</t>
  </si>
  <si>
    <t xml:space="preserve">awd</t>
  </si>
  <si>
    <t xml:space="preserve">Solterra - Premium</t>
  </si>
  <si>
    <t xml:space="preserve">Tesla</t>
  </si>
  <si>
    <t xml:space="preserve">Model 3</t>
  </si>
  <si>
    <t xml:space="preserve">Model Y</t>
  </si>
  <si>
    <t xml:space="preserve">suv</t>
  </si>
  <si>
    <t xml:space="preserve">Hyundai</t>
  </si>
  <si>
    <t xml:space="preserve">Ioniq 5</t>
  </si>
  <si>
    <t xml:space="preserve">Kia</t>
  </si>
  <si>
    <t xml:space="preserve">Seltos</t>
  </si>
  <si>
    <t xml:space="preserve">gas</t>
  </si>
  <si>
    <t xml:space="preserve">Volkswagen</t>
  </si>
  <si>
    <t xml:space="preserve">Taos</t>
  </si>
  <si>
    <t xml:space="preserve">Nissan</t>
  </si>
  <si>
    <t xml:space="preserve">Rogue</t>
  </si>
  <si>
    <t xml:space="preserve">Forester</t>
  </si>
  <si>
    <t xml:space="preserve">Chevrolet</t>
  </si>
  <si>
    <t xml:space="preserve">Trailblazer</t>
  </si>
  <si>
    <t xml:space="preserve">Buick</t>
  </si>
  <si>
    <t xml:space="preserve">Encore GX</t>
  </si>
  <si>
    <t xml:space="preserve">GMC</t>
  </si>
  <si>
    <t xml:space="preserve">Acadia</t>
  </si>
  <si>
    <t xml:space="preserve">Kona</t>
  </si>
  <si>
    <t xml:space="preserve">Toyota</t>
  </si>
  <si>
    <t xml:space="preserve">Camry</t>
  </si>
  <si>
    <t xml:space="preserve">hybrid</t>
  </si>
  <si>
    <t xml:space="preserve">Corolla Cross</t>
  </si>
  <si>
    <t xml:space="preserve">Tiguan</t>
  </si>
  <si>
    <t xml:space="preserve">Ford</t>
  </si>
  <si>
    <t xml:space="preserve">Escape</t>
  </si>
  <si>
    <t xml:space="preserve">Rav4 Hybrid</t>
  </si>
  <si>
    <t xml:space="preserve">Santa Fe</t>
  </si>
  <si>
    <t xml:space="preserve">Mazda</t>
  </si>
  <si>
    <t xml:space="preserve">CX-50</t>
  </si>
  <si>
    <t xml:space="preserve">Outback</t>
  </si>
  <si>
    <t xml:space="preserve">Ascent</t>
  </si>
  <si>
    <t xml:space="preserve">Palisade - AWD</t>
  </si>
  <si>
    <t xml:space="preserve">Explorer</t>
  </si>
  <si>
    <t xml:space="preserve">Grand Highlander Hybrid</t>
  </si>
  <si>
    <t xml:space="preserve">Maverick XLT</t>
  </si>
  <si>
    <t xml:space="preserve">truck</t>
  </si>
  <si>
    <t xml:space="preserve">Crosstrek</t>
  </si>
  <si>
    <t xml:space="preserve">Crown</t>
  </si>
  <si>
    <t xml:space="preserve">Lexus</t>
  </si>
  <si>
    <t xml:space="preserve">NX</t>
  </si>
  <si>
    <t xml:space="preserve">Volvo</t>
  </si>
  <si>
    <t xml:space="preserve">XC60</t>
  </si>
  <si>
    <t xml:space="preserve">BMW</t>
  </si>
  <si>
    <t xml:space="preserve">X3</t>
  </si>
  <si>
    <t xml:space="preserve">Mercedes</t>
  </si>
  <si>
    <t xml:space="preserve">GLC</t>
  </si>
  <si>
    <t xml:space="preserve">Acura</t>
  </si>
  <si>
    <t xml:space="preserve">RDX</t>
  </si>
  <si>
    <t xml:space="preserve">MDX</t>
  </si>
  <si>
    <t xml:space="preserve">Genesis</t>
  </si>
  <si>
    <t xml:space="preserve">GV70</t>
  </si>
  <si>
    <t xml:space="preserve">4Runner</t>
  </si>
  <si>
    <t xml:space="preserve">Porsche</t>
  </si>
  <si>
    <t xml:space="preserve">Macan</t>
  </si>
  <si>
    <t xml:space="preserve">RX</t>
  </si>
  <si>
    <t xml:space="preserve">GV80</t>
  </si>
  <si>
    <t xml:space="preserve">Silverado</t>
  </si>
  <si>
    <t xml:space="preserve">LandCruiser</t>
  </si>
  <si>
    <t xml:space="preserve">Niro</t>
  </si>
  <si>
    <t xml:space="preserve">fwd</t>
  </si>
  <si>
    <t xml:space="preserve">CX-90</t>
  </si>
  <si>
    <t xml:space="preserve">EV6</t>
  </si>
  <si>
    <t xml:space="preserve">CX-30</t>
  </si>
  <si>
    <t xml:space="preserve">Honda</t>
  </si>
  <si>
    <t xml:space="preserve">Ridgeline</t>
  </si>
  <si>
    <t xml:space="preserve">Jeep</t>
  </si>
  <si>
    <t xml:space="preserve">Cherokee</t>
  </si>
  <si>
    <t xml:space="preserve">rwd</t>
  </si>
  <si>
    <t xml:space="preserve">Tucson</t>
  </si>
  <si>
    <t xml:space="preserve">G80</t>
  </si>
  <si>
    <t xml:space="preserve">XC40 Recharge</t>
  </si>
  <si>
    <t xml:space="preserve">Accord</t>
  </si>
  <si>
    <t xml:space="preserve">CRV - Hybrid</t>
  </si>
  <si>
    <t xml:space="preserve">Sorento</t>
  </si>
  <si>
    <t xml:space="preserve">Pathfinder</t>
  </si>
  <si>
    <t xml:space="preserve">Leaf</t>
  </si>
  <si>
    <t xml:space="preserve">Civic</t>
  </si>
  <si>
    <t xml:space="preserve">Prius</t>
  </si>
  <si>
    <t xml:space="preserve">Audi</t>
  </si>
  <si>
    <t xml:space="preserve">A3</t>
  </si>
  <si>
    <t xml:space="preserve">Prius Prime</t>
  </si>
  <si>
    <t xml:space="preserve">phev</t>
  </si>
  <si>
    <t xml:space="preserve">Pilot</t>
  </si>
  <si>
    <t xml:space="preserve">Atlas</t>
  </si>
  <si>
    <t xml:space="preserve">3 Series</t>
  </si>
  <si>
    <t xml:space="preserve">Telluride</t>
  </si>
  <si>
    <t xml:space="preserve">Frontier</t>
  </si>
  <si>
    <t xml:space="preserve">4wd</t>
  </si>
  <si>
    <t xml:space="preserve">Corrola</t>
  </si>
  <si>
    <t xml:space="preserve">Sierra 1500</t>
  </si>
  <si>
    <t xml:space="preserve">Palisade - FWD</t>
  </si>
  <si>
    <t xml:space="preserve">Bolt</t>
  </si>
  <si>
    <t xml:space="preserve">Titan</t>
  </si>
  <si>
    <t xml:space="preserve">Colorado</t>
  </si>
  <si>
    <t xml:space="preserve">Maverick XL</t>
  </si>
  <si>
    <t xml:space="preserve">Bolt EUV</t>
  </si>
  <si>
    <t xml:space="preserve">Santa Cruz</t>
  </si>
  <si>
    <t xml:space="preserve">assumption</t>
  </si>
  <si>
    <t xml:space="preserve">value</t>
  </si>
  <si>
    <t xml:space="preserve">r</t>
  </si>
  <si>
    <t xml:space="preserve">rm</t>
  </si>
  <si>
    <t xml:space="preserve">apr</t>
  </si>
  <si>
    <t xml:space="preserve">apr_m</t>
  </si>
  <si>
    <t xml:space="preserve">loan_term_mo</t>
  </si>
  <si>
    <t xml:space="preserve">down_payment_pct</t>
  </si>
  <si>
    <t xml:space="preserve">sales_tax_pct</t>
  </si>
  <si>
    <t xml:space="preserve">doc_fees</t>
  </si>
  <si>
    <t xml:space="preserve">annual_miles</t>
  </si>
  <si>
    <t xml:space="preserve">eol_years</t>
  </si>
  <si>
    <t xml:space="preserve">eol_miles</t>
  </si>
  <si>
    <t xml:space="preserve">fuel_price</t>
  </si>
  <si>
    <t xml:space="preserve">electric_price_kwh</t>
  </si>
  <si>
    <t xml:space="preserve">insurance_annual</t>
  </si>
  <si>
    <t xml:space="preserve">lease_insurance_premium_pct</t>
  </si>
  <si>
    <t xml:space="preserve">registration_annual</t>
  </si>
  <si>
    <t xml:space="preserve">repair_base_annual</t>
  </si>
  <si>
    <t xml:space="preserve">repair_growth</t>
  </si>
  <si>
    <t xml:space="preserve">warranty_years</t>
  </si>
  <si>
    <t xml:space="preserve">eol_repair_multiplier</t>
  </si>
  <si>
    <t xml:space="preserve">mileage_penalty_per_10k</t>
  </si>
  <si>
    <t xml:space="preserve">scrap_value</t>
  </si>
  <si>
    <t xml:space="preserve">lease_allowance</t>
  </si>
  <si>
    <t xml:space="preserve">overage_rate</t>
  </si>
  <si>
    <t xml:space="preserve">lease_escalation_pct</t>
  </si>
  <si>
    <t xml:space="preserve">acq_fee</t>
  </si>
  <si>
    <t xml:space="preserve">disp_fee</t>
  </si>
  <si>
    <t xml:space="preserve">buyout_loan_term_mo</t>
  </si>
  <si>
    <t xml:space="preserve">residual_pct_36</t>
  </si>
  <si>
    <t xml:space="preserve">residual_pct_per_month</t>
  </si>
  <si>
    <t xml:space="preserve">ev_residual_penalty</t>
  </si>
  <si>
    <t xml:space="preserve">residual_floor_pct</t>
  </si>
  <si>
    <t xml:space="preserve">w_volume</t>
  </si>
  <si>
    <t xml:space="preserve">w_mpg</t>
  </si>
  <si>
    <t xml:space="preserve">w_price</t>
  </si>
  <si>
    <t xml:space="preserve">w_cost</t>
  </si>
  <si>
    <t xml:space="preserve">hold_years</t>
  </si>
  <si>
    <t xml:space="preserve">residual_pct</t>
  </si>
  <si>
    <t xml:space="preserve">residual_value</t>
  </si>
  <si>
    <t xml:space="preserve">decline</t>
  </si>
  <si>
    <t xml:space="preserve">purchase_total</t>
  </si>
  <si>
    <t xml:space="preserve">energy_price</t>
  </si>
  <si>
    <t xml:space="preserve">fuel_annual</t>
  </si>
  <si>
    <t xml:space="preserve">own_fixed_annual</t>
  </si>
  <si>
    <t xml:space="preserve">lease_fixed_annual</t>
  </si>
  <si>
    <t xml:space="preserve">past_eol</t>
  </si>
  <si>
    <t xml:space="preserve">mileage_adj</t>
  </si>
  <si>
    <t xml:space="preserve">resale</t>
  </si>
  <si>
    <t xml:space="preserve">pv_repairs</t>
  </si>
  <si>
    <t xml:space="preserve">pv_running_own</t>
  </si>
  <si>
    <t xml:space="preserve">pv_cash</t>
  </si>
  <si>
    <t xml:space="preserve">down_amt</t>
  </si>
  <si>
    <t xml:space="preserve">financed</t>
  </si>
  <si>
    <t xml:space="preserve">pmt_loan</t>
  </si>
  <si>
    <t xml:space="preserve">hold_months</t>
  </si>
  <si>
    <t xml:space="preserve">months_paid</t>
  </si>
  <si>
    <t xml:space="preserve">loan_balance</t>
  </si>
  <si>
    <t xml:space="preserve">pv_loan</t>
  </si>
  <si>
    <t xml:space="preserve">lease_years</t>
  </si>
  <si>
    <t xml:space="preserve">lease_overage_annual</t>
  </si>
  <si>
    <t xml:space="preserve">lease_cycle_pv</t>
  </si>
  <si>
    <t xml:space="preserve">lease_cycles</t>
  </si>
  <si>
    <t xml:space="preserve">z_esc</t>
  </si>
  <si>
    <t xml:space="preserve">sum_esc</t>
  </si>
  <si>
    <t xml:space="preserve">z_flat</t>
  </si>
  <si>
    <t xml:space="preserve">sum_flat</t>
  </si>
  <si>
    <t xml:space="preserve">pv_lease_relet</t>
  </si>
  <si>
    <t xml:space="preserve">residual_total</t>
  </si>
  <si>
    <t xml:space="preserve">pmt_buyout</t>
  </si>
  <si>
    <t xml:space="preserve">buyout_months_held</t>
  </si>
  <si>
    <t xml:space="preserve">buyout_months_paid</t>
  </si>
  <si>
    <t xml:space="preserve">buyout_balance</t>
  </si>
  <si>
    <t xml:space="preserve">pv_buyout_financed</t>
  </si>
  <si>
    <t xml:space="preserve">pv_lease_running_term</t>
  </si>
  <si>
    <t xml:space="preserve">pv_own_running_after</t>
  </si>
  <si>
    <t xml:space="preserve">pv_lease_then_own_base</t>
  </si>
  <si>
    <t xml:space="preserve">pv_lease_buyout_loan</t>
  </si>
  <si>
    <t xml:space="preserve">pv_buyout_cash_leg</t>
  </si>
  <si>
    <t xml:space="preserve">pv_lease_buyout_cash</t>
  </si>
  <si>
    <t xml:space="preserve">pv_lease_return</t>
  </si>
  <si>
    <t xml:space="preserve">best_pv</t>
  </si>
  <si>
    <t xml:space="preserve">best_path</t>
  </si>
  <si>
    <t xml:space="preserve">cost_per_month</t>
  </si>
  <si>
    <t xml:space="preserve">value_score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</si>
</sst>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$-409]#,##0.00;[RED]\-[$$-409]#,##0.00"/>
  </numFmts>
  <fonts count="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78"/>
  </cols>
  <sheetData>
    <row r="1" customFormat="false" ht="15" hidden="false" customHeight="false" outlineLevel="0" collapsed="false">
      <c r="A1" s="0" t="s">
        <v>0</v>
      </c>
    </row>
    <row r="3" customFormat="false" ht="15" hidden="false" customHeight="false" outlineLevel="0" collapsed="false">
      <c r="A3" s="0" t="s">
        <v>1</v>
      </c>
      <c r="B3" s="0" t="s">
        <v>2</v>
      </c>
    </row>
    <row r="4" customFormat="false" ht="15" hidden="false" customHeight="false" outlineLevel="0" collapsed="false">
      <c r="A4" s="0" t="s">
        <v>3</v>
      </c>
      <c r="B4" s="0" t="s">
        <v>4</v>
      </c>
    </row>
    <row r="6" customFormat="false" ht="15" hidden="false" customHeight="false" outlineLevel="0" collapsed="false">
      <c r="A6" s="0" t="s">
        <v>5</v>
      </c>
      <c r="B6" s="0" t="s">
        <v>6</v>
      </c>
    </row>
    <row r="7" customFormat="false" ht="15" hidden="false" customHeight="false" outlineLevel="0" collapsed="false">
      <c r="B7" s="0" t="s">
        <v>7</v>
      </c>
    </row>
    <row r="8" customFormat="false" ht="15" hidden="false" customHeight="false" outlineLevel="0" collapsed="false">
      <c r="A8" s="0" t="s">
        <v>8</v>
      </c>
      <c r="B8" s="0" t="s">
        <v>9</v>
      </c>
    </row>
    <row r="9" customFormat="false" ht="15" hidden="false" customHeight="false" outlineLevel="0" collapsed="false">
      <c r="B9" s="0" t="s">
        <v>10</v>
      </c>
    </row>
    <row r="10" customFormat="false" ht="15" hidden="false" customHeight="false" outlineLevel="0" collapsed="false">
      <c r="A10" s="0" t="s">
        <v>11</v>
      </c>
      <c r="B10" s="0" t="s">
        <v>12</v>
      </c>
    </row>
    <row r="11" customFormat="false" ht="15" hidden="false" customHeight="false" outlineLevel="0" collapsed="false">
      <c r="B11" s="0" t="s">
        <v>13</v>
      </c>
    </row>
    <row r="13" customFormat="false" ht="15" hidden="false" customHeight="false" outlineLevel="0" collapsed="false">
      <c r="A13" s="0" t="s">
        <v>14</v>
      </c>
      <c r="B13" s="0" t="s">
        <v>15</v>
      </c>
    </row>
    <row r="14" customFormat="false" ht="15" hidden="false" customHeight="false" outlineLevel="0" collapsed="false">
      <c r="B14" s="0" t="s">
        <v>16</v>
      </c>
    </row>
    <row r="15" customFormat="false" ht="15" hidden="false" customHeight="false" outlineLevel="0" collapsed="false">
      <c r="B15" s="0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7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sheetData>
    <row r="1" customFormat="false" ht="15" hidden="false" customHeight="false" outlineLevel="0" collapsed="false">
      <c r="A1" s="0" t="s">
        <v>18</v>
      </c>
      <c r="B1" s="0" t="s">
        <v>19</v>
      </c>
      <c r="C1" s="0" t="s">
        <v>20</v>
      </c>
      <c r="D1" s="0" t="s">
        <v>21</v>
      </c>
      <c r="E1" s="0" t="s">
        <v>22</v>
      </c>
      <c r="F1" s="0" t="s">
        <v>23</v>
      </c>
      <c r="G1" s="0" t="s">
        <v>24</v>
      </c>
      <c r="H1" s="0" t="s">
        <v>25</v>
      </c>
      <c r="I1" s="0" t="s">
        <v>26</v>
      </c>
      <c r="J1" s="0" t="s">
        <v>27</v>
      </c>
      <c r="K1" s="0" t="s">
        <v>28</v>
      </c>
      <c r="L1" s="0" t="s">
        <v>29</v>
      </c>
      <c r="M1" s="0" t="s">
        <v>30</v>
      </c>
    </row>
    <row r="2" customFormat="false" ht="15" hidden="false" customHeight="false" outlineLevel="0" collapsed="false">
      <c r="A2" s="0" t="s">
        <v>31</v>
      </c>
      <c r="B2" s="0" t="s">
        <v>32</v>
      </c>
      <c r="C2" s="0" t="s">
        <v>33</v>
      </c>
      <c r="D2" s="0" t="s">
        <v>34</v>
      </c>
      <c r="E2" s="0" t="n">
        <v>1</v>
      </c>
      <c r="F2" s="0" t="s">
        <v>35</v>
      </c>
      <c r="G2" s="0" t="n">
        <v>163.5</v>
      </c>
      <c r="H2" s="0" t="n">
        <v>43277</v>
      </c>
      <c r="I2" s="0" t="n">
        <v>1102</v>
      </c>
      <c r="J2" s="0" t="n">
        <v>458</v>
      </c>
      <c r="K2" s="0" t="n">
        <v>36</v>
      </c>
      <c r="L2" s="0" t="n">
        <v>104</v>
      </c>
      <c r="M2" s="0" t="n">
        <v>12581</v>
      </c>
    </row>
    <row r="3" customFormat="false" ht="15" hidden="false" customHeight="false" outlineLevel="0" collapsed="false">
      <c r="A3" s="0" t="s">
        <v>31</v>
      </c>
      <c r="B3" s="0" t="s">
        <v>36</v>
      </c>
      <c r="C3" s="0" t="s">
        <v>33</v>
      </c>
      <c r="D3" s="0" t="s">
        <v>34</v>
      </c>
      <c r="E3" s="0" t="n">
        <v>1</v>
      </c>
      <c r="F3" s="0" t="s">
        <v>35</v>
      </c>
      <c r="G3" s="0" t="n">
        <v>163.5</v>
      </c>
      <c r="H3" s="0" t="n">
        <v>47187</v>
      </c>
      <c r="I3" s="0" t="n">
        <v>1850</v>
      </c>
      <c r="J3" s="0" t="n">
        <v>319</v>
      </c>
      <c r="K3" s="0" t="n">
        <v>36</v>
      </c>
      <c r="L3" s="0" t="n">
        <v>104</v>
      </c>
      <c r="M3" s="0" t="n">
        <v>12581</v>
      </c>
    </row>
    <row r="4" customFormat="false" ht="15" hidden="false" customHeight="false" outlineLevel="0" collapsed="false">
      <c r="A4" s="0" t="s">
        <v>37</v>
      </c>
      <c r="B4" s="0" t="s">
        <v>38</v>
      </c>
      <c r="C4" s="0" t="s">
        <v>33</v>
      </c>
      <c r="D4" s="0" t="s">
        <v>34</v>
      </c>
      <c r="E4" s="0" t="n">
        <v>1</v>
      </c>
      <c r="F4" s="0" t="s">
        <v>35</v>
      </c>
      <c r="G4" s="0" t="n">
        <v>127</v>
      </c>
      <c r="H4" s="0" t="n">
        <v>49130</v>
      </c>
      <c r="I4" s="0" t="n">
        <v>7932</v>
      </c>
      <c r="J4" s="0" t="n">
        <v>356</v>
      </c>
      <c r="K4" s="0" t="n">
        <v>36</v>
      </c>
      <c r="L4" s="0" t="n">
        <v>128</v>
      </c>
      <c r="M4" s="0" t="n">
        <v>10841</v>
      </c>
    </row>
    <row r="5" customFormat="false" ht="15" hidden="false" customHeight="false" outlineLevel="0" collapsed="false">
      <c r="A5" s="0" t="s">
        <v>37</v>
      </c>
      <c r="B5" s="0" t="s">
        <v>39</v>
      </c>
      <c r="C5" s="0" t="s">
        <v>40</v>
      </c>
      <c r="D5" s="0" t="s">
        <v>34</v>
      </c>
      <c r="E5" s="0" t="n">
        <v>1</v>
      </c>
      <c r="F5" s="0" t="s">
        <v>35</v>
      </c>
      <c r="G5" s="0" t="n">
        <v>173.2</v>
      </c>
      <c r="H5" s="0" t="n">
        <v>50990</v>
      </c>
      <c r="I5" s="0" t="n">
        <v>4158</v>
      </c>
      <c r="J5" s="0" t="n">
        <v>464</v>
      </c>
      <c r="K5" s="0" t="n">
        <v>36</v>
      </c>
      <c r="L5" s="0" t="n">
        <v>110</v>
      </c>
      <c r="M5" s="0" t="n">
        <v>15876</v>
      </c>
    </row>
    <row r="6" customFormat="false" ht="15" hidden="false" customHeight="false" outlineLevel="0" collapsed="false">
      <c r="A6" s="0" t="s">
        <v>41</v>
      </c>
      <c r="B6" s="0" t="s">
        <v>42</v>
      </c>
      <c r="C6" s="0" t="s">
        <v>40</v>
      </c>
      <c r="D6" s="0" t="s">
        <v>34</v>
      </c>
      <c r="E6" s="0" t="n">
        <v>1</v>
      </c>
      <c r="F6" s="0" t="s">
        <v>35</v>
      </c>
      <c r="G6" s="0" t="n">
        <v>132.8</v>
      </c>
      <c r="H6" s="0" t="n">
        <v>41400</v>
      </c>
      <c r="I6" s="0" t="n">
        <v>1500</v>
      </c>
      <c r="J6" s="0" t="n">
        <v>561.11</v>
      </c>
      <c r="K6" s="0" t="n">
        <v>36</v>
      </c>
      <c r="L6" s="0" t="n">
        <v>94</v>
      </c>
      <c r="M6" s="0" t="n">
        <v>9644</v>
      </c>
    </row>
    <row r="7" customFormat="false" ht="15" hidden="false" customHeight="false" outlineLevel="0" collapsed="false">
      <c r="A7" s="0" t="s">
        <v>43</v>
      </c>
      <c r="B7" s="0" t="s">
        <v>44</v>
      </c>
      <c r="C7" s="0" t="s">
        <v>40</v>
      </c>
      <c r="D7" s="0" t="s">
        <v>45</v>
      </c>
      <c r="E7" s="0" t="n">
        <v>0</v>
      </c>
      <c r="F7" s="0" t="s">
        <v>35</v>
      </c>
      <c r="G7" s="0" t="n">
        <v>149.8</v>
      </c>
      <c r="H7" s="0" t="n">
        <v>23945</v>
      </c>
      <c r="I7" s="0" t="n">
        <v>2787</v>
      </c>
      <c r="J7" s="0" t="n">
        <v>234</v>
      </c>
      <c r="K7" s="0" t="n">
        <v>36</v>
      </c>
      <c r="L7" s="0" t="n">
        <v>34</v>
      </c>
      <c r="M7" s="0" t="n">
        <v>7980</v>
      </c>
    </row>
    <row r="8" customFormat="false" ht="15" hidden="false" customHeight="false" outlineLevel="0" collapsed="false">
      <c r="A8" s="0" t="s">
        <v>46</v>
      </c>
      <c r="B8" s="0" t="s">
        <v>47</v>
      </c>
      <c r="C8" s="0" t="s">
        <v>40</v>
      </c>
      <c r="D8" s="0" t="s">
        <v>45</v>
      </c>
      <c r="E8" s="0" t="n">
        <v>0</v>
      </c>
      <c r="F8" s="0" t="s">
        <v>35</v>
      </c>
      <c r="G8" s="0" t="n">
        <v>162</v>
      </c>
      <c r="H8" s="0" t="n">
        <v>26239</v>
      </c>
      <c r="I8" s="0" t="n">
        <v>2840</v>
      </c>
      <c r="J8" s="0" t="n">
        <v>340</v>
      </c>
      <c r="K8" s="0" t="n">
        <v>36</v>
      </c>
      <c r="L8" s="0" t="n">
        <v>27</v>
      </c>
      <c r="M8" s="0" t="n">
        <v>7779</v>
      </c>
    </row>
    <row r="9" customFormat="false" ht="15" hidden="false" customHeight="false" outlineLevel="0" collapsed="false">
      <c r="A9" s="0" t="s">
        <v>48</v>
      </c>
      <c r="B9" s="0" t="s">
        <v>49</v>
      </c>
      <c r="C9" s="0" t="s">
        <v>40</v>
      </c>
      <c r="D9" s="0" t="s">
        <v>45</v>
      </c>
      <c r="E9" s="0" t="n">
        <v>0</v>
      </c>
      <c r="F9" s="0" t="s">
        <v>35</v>
      </c>
      <c r="G9" s="0" t="n">
        <v>174.1</v>
      </c>
      <c r="H9" s="0" t="n">
        <v>30658</v>
      </c>
      <c r="I9" s="0" t="n">
        <v>2865</v>
      </c>
      <c r="J9" s="0" t="n">
        <v>365</v>
      </c>
      <c r="K9" s="0" t="n">
        <v>36</v>
      </c>
      <c r="L9" s="0" t="n">
        <v>30</v>
      </c>
      <c r="M9" s="0" t="n">
        <v>9758</v>
      </c>
    </row>
    <row r="10" customFormat="false" ht="15" hidden="false" customHeight="false" outlineLevel="0" collapsed="false">
      <c r="A10" s="0" t="s">
        <v>31</v>
      </c>
      <c r="B10" s="0" t="s">
        <v>50</v>
      </c>
      <c r="C10" s="0" t="s">
        <v>40</v>
      </c>
      <c r="D10" s="0" t="s">
        <v>45</v>
      </c>
      <c r="E10" s="0" t="n">
        <v>0</v>
      </c>
      <c r="F10" s="0" t="s">
        <v>35</v>
      </c>
      <c r="G10" s="0" t="n">
        <v>174.2</v>
      </c>
      <c r="H10" s="0" t="n">
        <v>28977</v>
      </c>
      <c r="I10" s="0" t="n">
        <v>2794</v>
      </c>
      <c r="J10" s="0" t="n">
        <v>294</v>
      </c>
      <c r="K10" s="0" t="n">
        <v>36</v>
      </c>
      <c r="L10" s="0" t="n">
        <v>25.5</v>
      </c>
      <c r="M10" s="0" t="n">
        <v>11499</v>
      </c>
    </row>
    <row r="11" customFormat="false" ht="15" hidden="false" customHeight="false" outlineLevel="0" collapsed="false">
      <c r="A11" s="0" t="s">
        <v>51</v>
      </c>
      <c r="B11" s="0" t="s">
        <v>52</v>
      </c>
      <c r="C11" s="0" t="s">
        <v>40</v>
      </c>
      <c r="D11" s="0" t="s">
        <v>45</v>
      </c>
      <c r="E11" s="0" t="n">
        <v>0</v>
      </c>
      <c r="F11" s="0" t="s">
        <v>35</v>
      </c>
      <c r="G11" s="0" t="n">
        <v>148.4</v>
      </c>
      <c r="H11" s="0" t="n">
        <v>27021</v>
      </c>
      <c r="I11" s="0" t="n">
        <v>2879</v>
      </c>
      <c r="J11" s="0" t="n">
        <v>379</v>
      </c>
      <c r="K11" s="0" t="n">
        <v>36</v>
      </c>
      <c r="L11" s="0" t="n">
        <v>30</v>
      </c>
      <c r="M11" s="0" t="n">
        <v>7378</v>
      </c>
    </row>
    <row r="12" customFormat="false" ht="15" hidden="false" customHeight="false" outlineLevel="0" collapsed="false">
      <c r="A12" s="0" t="s">
        <v>53</v>
      </c>
      <c r="B12" s="0" t="s">
        <v>54</v>
      </c>
      <c r="C12" s="0" t="s">
        <v>40</v>
      </c>
      <c r="D12" s="0" t="s">
        <v>45</v>
      </c>
      <c r="E12" s="0" t="n">
        <v>0</v>
      </c>
      <c r="F12" s="0" t="s">
        <v>35</v>
      </c>
      <c r="G12" s="0" t="n">
        <v>146.2</v>
      </c>
      <c r="H12" s="0" t="n">
        <v>27705</v>
      </c>
      <c r="I12" s="0" t="n">
        <v>3408</v>
      </c>
      <c r="J12" s="0" t="n">
        <v>408</v>
      </c>
      <c r="K12" s="0" t="n">
        <v>36</v>
      </c>
      <c r="L12" s="0" t="n">
        <v>30</v>
      </c>
      <c r="M12" s="0" t="n">
        <v>7884</v>
      </c>
    </row>
    <row r="13" customFormat="false" ht="15" hidden="false" customHeight="false" outlineLevel="0" collapsed="false">
      <c r="A13" s="0" t="s">
        <v>55</v>
      </c>
      <c r="B13" s="0" t="s">
        <v>56</v>
      </c>
      <c r="C13" s="0" t="s">
        <v>40</v>
      </c>
      <c r="D13" s="0" t="s">
        <v>45</v>
      </c>
      <c r="E13" s="0" t="n">
        <v>0</v>
      </c>
      <c r="F13" s="0" t="s">
        <v>35</v>
      </c>
      <c r="G13" s="0" t="n">
        <v>194.5</v>
      </c>
      <c r="H13" s="0" t="n">
        <v>34802</v>
      </c>
      <c r="I13" s="0" t="n">
        <v>3002</v>
      </c>
      <c r="J13" s="0" t="n">
        <v>502</v>
      </c>
      <c r="K13" s="0" t="n">
        <v>36</v>
      </c>
      <c r="L13" s="0" t="n">
        <v>24</v>
      </c>
      <c r="M13" s="0" t="n">
        <v>12571</v>
      </c>
    </row>
    <row r="14" customFormat="false" ht="15" hidden="false" customHeight="false" outlineLevel="0" collapsed="false">
      <c r="A14" s="0" t="s">
        <v>41</v>
      </c>
      <c r="B14" s="0" t="s">
        <v>57</v>
      </c>
      <c r="C14" s="0" t="s">
        <v>40</v>
      </c>
      <c r="D14" s="0" t="s">
        <v>45</v>
      </c>
      <c r="E14" s="0" t="n">
        <v>0</v>
      </c>
      <c r="F14" s="0" t="s">
        <v>35</v>
      </c>
      <c r="G14" s="0" t="n">
        <v>148.3</v>
      </c>
      <c r="H14" s="0" t="n">
        <v>27398</v>
      </c>
      <c r="I14" s="0" t="n">
        <v>2809</v>
      </c>
      <c r="J14" s="0" t="n">
        <v>309</v>
      </c>
      <c r="K14" s="0" t="n">
        <v>36</v>
      </c>
      <c r="L14" s="0" t="n">
        <v>28</v>
      </c>
      <c r="M14" s="0" t="n">
        <v>7930</v>
      </c>
    </row>
    <row r="15" customFormat="false" ht="15" hidden="false" customHeight="false" outlineLevel="0" collapsed="false">
      <c r="A15" s="0" t="s">
        <v>58</v>
      </c>
      <c r="B15" s="0" t="s">
        <v>59</v>
      </c>
      <c r="C15" s="0" t="s">
        <v>33</v>
      </c>
      <c r="D15" s="0" t="s">
        <v>60</v>
      </c>
      <c r="E15" s="0" t="n">
        <v>0</v>
      </c>
      <c r="F15" s="0" t="s">
        <v>35</v>
      </c>
      <c r="G15" s="0" t="n">
        <v>115</v>
      </c>
      <c r="H15" s="0" t="n">
        <v>38969</v>
      </c>
      <c r="I15" s="0" t="n">
        <v>1102</v>
      </c>
      <c r="J15" s="0" t="n">
        <v>735</v>
      </c>
      <c r="K15" s="0" t="n">
        <v>36</v>
      </c>
      <c r="L15" s="0" t="n">
        <v>50</v>
      </c>
      <c r="M15" s="0" t="n">
        <v>14127</v>
      </c>
    </row>
    <row r="16" customFormat="false" ht="15" hidden="false" customHeight="false" outlineLevel="0" collapsed="false">
      <c r="A16" s="0" t="s">
        <v>58</v>
      </c>
      <c r="B16" s="0" t="s">
        <v>61</v>
      </c>
      <c r="C16" s="0" t="s">
        <v>40</v>
      </c>
      <c r="D16" s="0" t="s">
        <v>45</v>
      </c>
      <c r="E16" s="0" t="n">
        <v>0</v>
      </c>
      <c r="F16" s="0" t="s">
        <v>35</v>
      </c>
      <c r="G16" s="0" t="n">
        <v>149.3</v>
      </c>
      <c r="H16" s="0" t="n">
        <v>31190</v>
      </c>
      <c r="I16" s="0" t="n">
        <v>1168</v>
      </c>
      <c r="J16" s="0" t="n">
        <v>418</v>
      </c>
      <c r="K16" s="0" t="n">
        <v>36</v>
      </c>
      <c r="L16" s="0" t="n">
        <v>30</v>
      </c>
      <c r="M16" s="0" t="n">
        <v>11145</v>
      </c>
    </row>
    <row r="17" customFormat="false" ht="15" hidden="false" customHeight="false" outlineLevel="0" collapsed="false">
      <c r="A17" s="0" t="s">
        <v>46</v>
      </c>
      <c r="B17" s="0" t="s">
        <v>62</v>
      </c>
      <c r="C17" s="0" t="s">
        <v>40</v>
      </c>
      <c r="D17" s="0" t="s">
        <v>45</v>
      </c>
      <c r="E17" s="0" t="n">
        <v>0</v>
      </c>
      <c r="F17" s="0" t="s">
        <v>35</v>
      </c>
      <c r="G17" s="0" t="n">
        <v>163.7</v>
      </c>
      <c r="H17" s="0" t="n">
        <v>29919</v>
      </c>
      <c r="I17" s="0" t="n">
        <v>2853</v>
      </c>
      <c r="J17" s="0" t="n">
        <v>353</v>
      </c>
      <c r="K17" s="0" t="n">
        <v>36</v>
      </c>
      <c r="L17" s="0" t="n">
        <v>25</v>
      </c>
      <c r="M17" s="0" t="n">
        <v>8341</v>
      </c>
    </row>
    <row r="18" customFormat="false" ht="15" hidden="false" customHeight="false" outlineLevel="0" collapsed="false">
      <c r="A18" s="0" t="s">
        <v>63</v>
      </c>
      <c r="B18" s="0" t="s">
        <v>64</v>
      </c>
      <c r="C18" s="0" t="s">
        <v>40</v>
      </c>
      <c r="D18" s="0" t="s">
        <v>60</v>
      </c>
      <c r="E18" s="0" t="n">
        <v>0</v>
      </c>
      <c r="F18" s="0" t="s">
        <v>35</v>
      </c>
      <c r="G18" s="0" t="n">
        <v>162.4</v>
      </c>
      <c r="H18" s="0" t="n">
        <v>31835</v>
      </c>
      <c r="I18" s="0" t="n">
        <v>3436</v>
      </c>
      <c r="J18" s="0" t="n">
        <v>436</v>
      </c>
      <c r="K18" s="0" t="n">
        <v>36</v>
      </c>
      <c r="L18" s="0" t="n">
        <v>25</v>
      </c>
      <c r="M18" s="0" t="n">
        <v>13252</v>
      </c>
    </row>
    <row r="19" customFormat="false" ht="15" hidden="false" customHeight="false" outlineLevel="0" collapsed="false">
      <c r="A19" s="0" t="s">
        <v>58</v>
      </c>
      <c r="B19" s="0" t="s">
        <v>65</v>
      </c>
      <c r="C19" s="0" t="s">
        <v>40</v>
      </c>
      <c r="D19" s="0" t="s">
        <v>60</v>
      </c>
      <c r="E19" s="0" t="n">
        <v>0</v>
      </c>
      <c r="F19" s="0" t="s">
        <v>35</v>
      </c>
      <c r="G19" s="0" t="n">
        <v>168.7</v>
      </c>
      <c r="H19" s="0" t="n">
        <v>43095</v>
      </c>
      <c r="I19" s="0" t="n">
        <v>5170</v>
      </c>
      <c r="J19" s="0" t="n">
        <v>426</v>
      </c>
      <c r="K19" s="0" t="n">
        <v>36</v>
      </c>
      <c r="L19" s="0" t="n">
        <v>39</v>
      </c>
      <c r="M19" s="0" t="n">
        <v>15817</v>
      </c>
    </row>
    <row r="20" customFormat="false" ht="15" hidden="false" customHeight="false" outlineLevel="0" collapsed="false">
      <c r="A20" s="0" t="s">
        <v>41</v>
      </c>
      <c r="B20" s="0" t="s">
        <v>66</v>
      </c>
      <c r="C20" s="0" t="s">
        <v>40</v>
      </c>
      <c r="D20" s="0" t="s">
        <v>60</v>
      </c>
      <c r="E20" s="0" t="n">
        <v>0</v>
      </c>
      <c r="F20" s="0" t="s">
        <v>35</v>
      </c>
      <c r="G20" s="0" t="n">
        <v>169.1</v>
      </c>
      <c r="H20" s="0" t="n">
        <v>40145</v>
      </c>
      <c r="I20" s="0" t="n">
        <v>3495</v>
      </c>
      <c r="J20" s="0" t="n">
        <v>495</v>
      </c>
      <c r="K20" s="0" t="n">
        <v>36</v>
      </c>
      <c r="L20" s="0" t="n">
        <v>33</v>
      </c>
      <c r="M20" s="0" t="n">
        <v>12091</v>
      </c>
    </row>
    <row r="21" customFormat="false" ht="15" hidden="false" customHeight="false" outlineLevel="0" collapsed="false">
      <c r="A21" s="0" t="s">
        <v>67</v>
      </c>
      <c r="B21" s="0" t="s">
        <v>68</v>
      </c>
      <c r="C21" s="0" t="s">
        <v>40</v>
      </c>
      <c r="D21" s="0" t="s">
        <v>45</v>
      </c>
      <c r="E21" s="0" t="n">
        <v>0</v>
      </c>
      <c r="F21" s="0" t="s">
        <v>35</v>
      </c>
      <c r="G21" s="0" t="n">
        <v>156.3</v>
      </c>
      <c r="H21" s="0" t="n">
        <v>32340</v>
      </c>
      <c r="I21" s="0" t="n">
        <v>3000</v>
      </c>
      <c r="J21" s="0" t="n">
        <v>329</v>
      </c>
      <c r="K21" s="0" t="n">
        <v>36</v>
      </c>
      <c r="L21" s="0" t="n">
        <v>25</v>
      </c>
      <c r="M21" s="0" t="n">
        <v>10543</v>
      </c>
    </row>
    <row r="22" customFormat="false" ht="15" hidden="false" customHeight="false" outlineLevel="0" collapsed="false">
      <c r="A22" s="0" t="s">
        <v>31</v>
      </c>
      <c r="B22" s="0" t="s">
        <v>69</v>
      </c>
      <c r="C22" s="0" t="s">
        <v>40</v>
      </c>
      <c r="D22" s="0" t="s">
        <v>45</v>
      </c>
      <c r="E22" s="0" t="n">
        <v>0</v>
      </c>
      <c r="F22" s="0" t="s">
        <v>35</v>
      </c>
      <c r="G22" s="0" t="n">
        <v>175.6</v>
      </c>
      <c r="H22" s="0" t="n">
        <v>36445</v>
      </c>
      <c r="I22" s="0" t="n">
        <v>4304</v>
      </c>
      <c r="J22" s="0" t="n">
        <v>305</v>
      </c>
      <c r="K22" s="0" t="n">
        <v>36</v>
      </c>
      <c r="L22" s="0" t="n">
        <v>26</v>
      </c>
      <c r="M22" s="0" t="n">
        <v>8790</v>
      </c>
    </row>
    <row r="23" customFormat="false" ht="15" hidden="false" customHeight="false" outlineLevel="0" collapsed="false">
      <c r="A23" s="0" t="s">
        <v>31</v>
      </c>
      <c r="B23" s="0" t="s">
        <v>70</v>
      </c>
      <c r="C23" s="0" t="s">
        <v>40</v>
      </c>
      <c r="D23" s="0" t="s">
        <v>45</v>
      </c>
      <c r="E23" s="0" t="n">
        <v>0</v>
      </c>
      <c r="F23" s="0" t="s">
        <v>35</v>
      </c>
      <c r="G23" s="0" t="n">
        <v>171</v>
      </c>
      <c r="H23" s="0" t="n">
        <v>37818</v>
      </c>
      <c r="I23" s="0" t="n">
        <v>2905</v>
      </c>
      <c r="J23" s="0" t="n">
        <v>405</v>
      </c>
      <c r="K23" s="0" t="n">
        <v>36</v>
      </c>
      <c r="L23" s="0" t="n">
        <v>26</v>
      </c>
      <c r="M23" s="0" t="n">
        <v>11849</v>
      </c>
    </row>
    <row r="24" customFormat="false" ht="15" hidden="false" customHeight="false" outlineLevel="0" collapsed="false">
      <c r="A24" s="0" t="s">
        <v>41</v>
      </c>
      <c r="B24" s="0" t="s">
        <v>71</v>
      </c>
      <c r="C24" s="0" t="s">
        <v>40</v>
      </c>
      <c r="D24" s="0" t="s">
        <v>45</v>
      </c>
      <c r="E24" s="0" t="n">
        <v>0</v>
      </c>
      <c r="F24" s="0" t="s">
        <v>35</v>
      </c>
      <c r="G24" s="0" t="n">
        <v>183.8</v>
      </c>
      <c r="H24" s="0" t="n">
        <v>40446</v>
      </c>
      <c r="I24" s="0" t="n">
        <v>3089</v>
      </c>
      <c r="J24" s="0" t="n">
        <v>589</v>
      </c>
      <c r="K24" s="0" t="n">
        <v>36</v>
      </c>
      <c r="L24" s="0" t="n">
        <v>25</v>
      </c>
      <c r="M24" s="0" t="n">
        <v>11646</v>
      </c>
    </row>
    <row r="25" customFormat="false" ht="15" hidden="false" customHeight="false" outlineLevel="0" collapsed="false">
      <c r="A25" s="0" t="s">
        <v>63</v>
      </c>
      <c r="B25" s="0" t="s">
        <v>72</v>
      </c>
      <c r="C25" s="0" t="s">
        <v>40</v>
      </c>
      <c r="D25" s="0" t="s">
        <v>45</v>
      </c>
      <c r="E25" s="0" t="n">
        <v>0</v>
      </c>
      <c r="F25" s="0" t="s">
        <v>35</v>
      </c>
      <c r="G25" s="0" t="n">
        <v>184.8</v>
      </c>
      <c r="H25" s="0" t="n">
        <v>40457</v>
      </c>
      <c r="I25" s="0" t="n">
        <v>3047</v>
      </c>
      <c r="J25" s="0" t="n">
        <v>547</v>
      </c>
      <c r="K25" s="0" t="n">
        <v>36</v>
      </c>
      <c r="L25" s="0" t="n">
        <v>23</v>
      </c>
      <c r="M25" s="0" t="n">
        <v>12781</v>
      </c>
    </row>
    <row r="26" customFormat="false" ht="15" hidden="false" customHeight="false" outlineLevel="0" collapsed="false">
      <c r="A26" s="0" t="s">
        <v>58</v>
      </c>
      <c r="B26" s="0" t="s">
        <v>73</v>
      </c>
      <c r="C26" s="0" t="s">
        <v>40</v>
      </c>
      <c r="D26" s="0" t="s">
        <v>60</v>
      </c>
      <c r="E26" s="0" t="n">
        <v>0</v>
      </c>
      <c r="F26" s="0" t="s">
        <v>35</v>
      </c>
      <c r="G26" s="0" t="n">
        <v>182.3</v>
      </c>
      <c r="H26" s="0" t="n">
        <v>49575</v>
      </c>
      <c r="I26" s="0" t="n">
        <v>1304</v>
      </c>
      <c r="J26" s="0" t="n">
        <v>554</v>
      </c>
      <c r="K26" s="0" t="n">
        <v>36</v>
      </c>
      <c r="L26" s="0" t="n">
        <v>35</v>
      </c>
      <c r="M26" s="0" t="n">
        <v>20339</v>
      </c>
    </row>
    <row r="27" customFormat="false" ht="15" hidden="false" customHeight="false" outlineLevel="0" collapsed="false">
      <c r="A27" s="0" t="s">
        <v>63</v>
      </c>
      <c r="B27" s="0" t="s">
        <v>74</v>
      </c>
      <c r="C27" s="0" t="s">
        <v>75</v>
      </c>
      <c r="D27" s="0" t="s">
        <v>45</v>
      </c>
      <c r="E27" s="0" t="n">
        <v>0</v>
      </c>
      <c r="F27" s="0" t="s">
        <v>35</v>
      </c>
      <c r="G27" s="0" t="n">
        <v>87.3</v>
      </c>
      <c r="H27" s="0" t="n">
        <v>32598</v>
      </c>
      <c r="I27" s="0" t="n">
        <v>3000</v>
      </c>
      <c r="J27" s="0" t="n">
        <v>506</v>
      </c>
      <c r="K27" s="0" t="n">
        <v>36</v>
      </c>
      <c r="L27" s="0" t="n">
        <v>37</v>
      </c>
      <c r="M27" s="0" t="n">
        <v>9648</v>
      </c>
    </row>
    <row r="28" customFormat="false" ht="15" hidden="false" customHeight="false" outlineLevel="0" collapsed="false">
      <c r="A28" s="0" t="s">
        <v>31</v>
      </c>
      <c r="B28" s="0" t="s">
        <v>76</v>
      </c>
      <c r="C28" s="0" t="s">
        <v>40</v>
      </c>
      <c r="D28" s="0" t="s">
        <v>60</v>
      </c>
      <c r="E28" s="0" t="n">
        <v>0</v>
      </c>
      <c r="F28" s="0" t="s">
        <v>35</v>
      </c>
      <c r="G28" s="0" t="n">
        <v>120.4</v>
      </c>
      <c r="H28" s="0" t="n">
        <v>36712</v>
      </c>
      <c r="I28" s="0" t="n">
        <v>4370</v>
      </c>
      <c r="J28" s="0" t="n">
        <v>317</v>
      </c>
      <c r="K28" s="0" t="n">
        <v>36</v>
      </c>
      <c r="L28" s="0" t="n">
        <v>36</v>
      </c>
      <c r="M28" s="0" t="n">
        <v>6000</v>
      </c>
    </row>
    <row r="29" customFormat="false" ht="15" hidden="false" customHeight="false" outlineLevel="0" collapsed="false">
      <c r="A29" s="0" t="s">
        <v>58</v>
      </c>
      <c r="B29" s="0" t="s">
        <v>77</v>
      </c>
      <c r="C29" s="0" t="s">
        <v>33</v>
      </c>
      <c r="D29" s="0" t="s">
        <v>45</v>
      </c>
      <c r="E29" s="0" t="n">
        <v>0</v>
      </c>
      <c r="F29" s="0" t="s">
        <v>35</v>
      </c>
      <c r="G29" s="0" t="n">
        <v>121.3</v>
      </c>
      <c r="H29" s="0" t="n">
        <v>43054</v>
      </c>
      <c r="I29" s="0" t="n">
        <v>3999</v>
      </c>
      <c r="J29" s="0" t="n">
        <v>439</v>
      </c>
      <c r="K29" s="0" t="n">
        <v>36</v>
      </c>
      <c r="L29" s="0" t="n">
        <v>41</v>
      </c>
      <c r="M29" s="0" t="n">
        <v>13500</v>
      </c>
    </row>
    <row r="30" customFormat="false" ht="15" hidden="false" customHeight="false" outlineLevel="0" collapsed="false">
      <c r="A30" s="0" t="s">
        <v>78</v>
      </c>
      <c r="B30" s="0" t="s">
        <v>79</v>
      </c>
      <c r="C30" s="0" t="s">
        <v>40</v>
      </c>
      <c r="D30" s="0" t="s">
        <v>45</v>
      </c>
      <c r="E30" s="0" t="n">
        <v>0</v>
      </c>
      <c r="F30" s="0" t="s">
        <v>35</v>
      </c>
      <c r="G30" s="0" t="n">
        <v>142.9</v>
      </c>
      <c r="H30" s="0" t="n">
        <v>42080</v>
      </c>
      <c r="I30" s="0" t="n">
        <v>3010</v>
      </c>
      <c r="J30" s="0" t="n">
        <v>510</v>
      </c>
      <c r="K30" s="0" t="n">
        <v>36</v>
      </c>
      <c r="L30" s="0" t="n">
        <v>28</v>
      </c>
      <c r="M30" s="0" t="n">
        <v>15798</v>
      </c>
    </row>
    <row r="31" customFormat="false" ht="15" hidden="false" customHeight="false" outlineLevel="0" collapsed="false">
      <c r="A31" s="0" t="s">
        <v>80</v>
      </c>
      <c r="B31" s="0" t="s">
        <v>81</v>
      </c>
      <c r="C31" s="0" t="s">
        <v>40</v>
      </c>
      <c r="D31" s="0" t="s">
        <v>45</v>
      </c>
      <c r="E31" s="0" t="n">
        <v>0</v>
      </c>
      <c r="F31" s="0" t="s">
        <v>35</v>
      </c>
      <c r="G31" s="0" t="n">
        <v>163.3</v>
      </c>
      <c r="H31" s="0" t="n">
        <v>46900</v>
      </c>
      <c r="I31" s="0" t="n">
        <v>4399</v>
      </c>
      <c r="J31" s="0" t="n">
        <v>599</v>
      </c>
      <c r="K31" s="0" t="n">
        <v>36</v>
      </c>
      <c r="L31" s="0" t="n">
        <v>26</v>
      </c>
      <c r="M31" s="0" t="n">
        <v>15219</v>
      </c>
    </row>
    <row r="32" customFormat="false" ht="15" hidden="false" customHeight="false" outlineLevel="0" collapsed="false">
      <c r="A32" s="0" t="s">
        <v>82</v>
      </c>
      <c r="B32" s="0" t="s">
        <v>83</v>
      </c>
      <c r="C32" s="0" t="s">
        <v>40</v>
      </c>
      <c r="D32" s="0" t="s">
        <v>45</v>
      </c>
      <c r="E32" s="0" t="n">
        <v>0</v>
      </c>
      <c r="F32" s="0" t="s">
        <v>35</v>
      </c>
      <c r="G32" s="0" t="n">
        <v>164.1</v>
      </c>
      <c r="H32" s="0" t="n">
        <v>46469</v>
      </c>
      <c r="I32" s="0" t="n">
        <v>3125</v>
      </c>
      <c r="J32" s="0" t="n">
        <v>625</v>
      </c>
      <c r="K32" s="0" t="n">
        <v>36</v>
      </c>
      <c r="L32" s="0" t="n">
        <v>23</v>
      </c>
      <c r="M32" s="0" t="n">
        <v>15292</v>
      </c>
    </row>
    <row r="33" customFormat="false" ht="15" hidden="false" customHeight="false" outlineLevel="0" collapsed="false">
      <c r="A33" s="0" t="s">
        <v>84</v>
      </c>
      <c r="B33" s="0" t="s">
        <v>85</v>
      </c>
      <c r="C33" s="0" t="s">
        <v>40</v>
      </c>
      <c r="D33" s="0" t="s">
        <v>45</v>
      </c>
      <c r="E33" s="0" t="n">
        <v>0</v>
      </c>
      <c r="F33" s="0" t="s">
        <v>35</v>
      </c>
      <c r="G33" s="0" t="n">
        <v>153.5</v>
      </c>
      <c r="H33" s="0" t="n">
        <v>49687</v>
      </c>
      <c r="I33" s="0" t="n">
        <v>3201</v>
      </c>
      <c r="J33" s="0" t="n">
        <v>701</v>
      </c>
      <c r="K33" s="0" t="n">
        <v>36</v>
      </c>
      <c r="L33" s="0" t="n">
        <v>28</v>
      </c>
      <c r="M33" s="0" t="n">
        <v>18823</v>
      </c>
    </row>
    <row r="34" customFormat="false" ht="15" hidden="false" customHeight="false" outlineLevel="0" collapsed="false">
      <c r="A34" s="0" t="s">
        <v>86</v>
      </c>
      <c r="B34" s="0" t="s">
        <v>87</v>
      </c>
      <c r="C34" s="0" t="s">
        <v>40</v>
      </c>
      <c r="D34" s="0" t="s">
        <v>45</v>
      </c>
      <c r="E34" s="0" t="n">
        <v>0</v>
      </c>
      <c r="F34" s="0" t="s">
        <v>35</v>
      </c>
      <c r="G34" s="0" t="n">
        <v>155.9</v>
      </c>
      <c r="H34" s="0" t="n">
        <v>44350</v>
      </c>
      <c r="I34" s="0" t="n">
        <v>5999</v>
      </c>
      <c r="J34" s="0" t="n">
        <v>459</v>
      </c>
      <c r="K34" s="0" t="n">
        <v>36</v>
      </c>
      <c r="L34" s="0" t="n">
        <v>23</v>
      </c>
      <c r="M34" s="0" t="n">
        <v>12298</v>
      </c>
    </row>
    <row r="35" customFormat="false" ht="15" hidden="false" customHeight="false" outlineLevel="0" collapsed="false">
      <c r="A35" s="0" t="s">
        <v>86</v>
      </c>
      <c r="B35" s="0" t="s">
        <v>88</v>
      </c>
      <c r="C35" s="0" t="s">
        <v>40</v>
      </c>
      <c r="D35" s="0" t="s">
        <v>45</v>
      </c>
      <c r="E35" s="0" t="n">
        <v>0</v>
      </c>
      <c r="F35" s="0" t="s">
        <v>35</v>
      </c>
      <c r="G35" s="0" t="n">
        <v>181.3</v>
      </c>
      <c r="H35" s="0" t="n">
        <v>50150</v>
      </c>
      <c r="I35" s="0" t="n">
        <v>5999</v>
      </c>
      <c r="J35" s="0" t="n">
        <v>589</v>
      </c>
      <c r="K35" s="0" t="n">
        <v>36</v>
      </c>
      <c r="L35" s="0" t="n">
        <v>22</v>
      </c>
      <c r="M35" s="0" t="n">
        <v>17669</v>
      </c>
    </row>
    <row r="36" customFormat="false" ht="15" hidden="false" customHeight="false" outlineLevel="0" collapsed="false">
      <c r="A36" s="0" t="s">
        <v>89</v>
      </c>
      <c r="B36" s="0" t="s">
        <v>90</v>
      </c>
      <c r="C36" s="0" t="s">
        <v>40</v>
      </c>
      <c r="D36" s="0" t="s">
        <v>45</v>
      </c>
      <c r="E36" s="0" t="n">
        <v>0</v>
      </c>
      <c r="F36" s="0" t="s">
        <v>35</v>
      </c>
      <c r="G36" s="0" t="n">
        <v>153.9</v>
      </c>
      <c r="H36" s="0" t="n">
        <v>45150</v>
      </c>
      <c r="I36" s="0" t="n">
        <v>4999</v>
      </c>
      <c r="J36" s="0" t="n">
        <v>579</v>
      </c>
      <c r="K36" s="0" t="n">
        <v>36</v>
      </c>
      <c r="L36" s="0" t="n">
        <v>24</v>
      </c>
      <c r="M36" s="0" t="n">
        <v>11614</v>
      </c>
    </row>
    <row r="37" customFormat="false" ht="15" hidden="false" customHeight="false" outlineLevel="0" collapsed="false">
      <c r="A37" s="0" t="s">
        <v>58</v>
      </c>
      <c r="B37" s="0" t="s">
        <v>91</v>
      </c>
      <c r="C37" s="0" t="s">
        <v>40</v>
      </c>
      <c r="D37" s="0" t="s">
        <v>45</v>
      </c>
      <c r="E37" s="0" t="n">
        <v>0</v>
      </c>
      <c r="F37" s="0" t="s">
        <v>35</v>
      </c>
      <c r="G37" s="0" t="n">
        <v>186.7</v>
      </c>
      <c r="H37" s="0" t="n">
        <v>50244</v>
      </c>
      <c r="I37" s="0" t="n">
        <v>3045</v>
      </c>
      <c r="J37" s="0" t="n">
        <v>545</v>
      </c>
      <c r="K37" s="0" t="n">
        <v>36</v>
      </c>
      <c r="L37" s="0" t="n">
        <v>17</v>
      </c>
      <c r="M37" s="0" t="n">
        <v>21917</v>
      </c>
    </row>
    <row r="38" customFormat="false" ht="15" hidden="false" customHeight="false" outlineLevel="0" collapsed="false">
      <c r="A38" s="0" t="s">
        <v>92</v>
      </c>
      <c r="B38" s="0" t="s">
        <v>93</v>
      </c>
      <c r="C38" s="0" t="s">
        <v>40</v>
      </c>
      <c r="D38" s="0" t="s">
        <v>45</v>
      </c>
      <c r="E38" s="0" t="n">
        <v>0</v>
      </c>
      <c r="F38" s="0" t="s">
        <v>35</v>
      </c>
      <c r="G38" s="0" t="n">
        <v>149.7</v>
      </c>
      <c r="H38" s="0" t="n">
        <v>48195</v>
      </c>
      <c r="I38" s="0" t="n">
        <v>2933</v>
      </c>
      <c r="J38" s="0" t="n">
        <v>918</v>
      </c>
      <c r="K38" s="0" t="n">
        <v>36</v>
      </c>
      <c r="L38" s="0" t="n">
        <v>19</v>
      </c>
      <c r="M38" s="0" t="n">
        <v>21217</v>
      </c>
    </row>
    <row r="39" customFormat="false" ht="15" hidden="false" customHeight="false" outlineLevel="0" collapsed="false">
      <c r="A39" s="0" t="s">
        <v>78</v>
      </c>
      <c r="B39" s="0" t="s">
        <v>94</v>
      </c>
      <c r="C39" s="0" t="s">
        <v>40</v>
      </c>
      <c r="D39" s="0" t="s">
        <v>45</v>
      </c>
      <c r="E39" s="0" t="n">
        <v>0</v>
      </c>
      <c r="F39" s="0" t="s">
        <v>35</v>
      </c>
      <c r="G39" s="0" t="n">
        <v>143.2</v>
      </c>
      <c r="H39" s="0" t="n">
        <v>53913</v>
      </c>
      <c r="I39" s="0" t="n">
        <v>5612</v>
      </c>
      <c r="J39" s="0" t="n">
        <v>612</v>
      </c>
      <c r="K39" s="0" t="n">
        <v>36</v>
      </c>
      <c r="L39" s="0" t="n">
        <v>25</v>
      </c>
      <c r="M39" s="0" t="n">
        <v>24748</v>
      </c>
    </row>
    <row r="40" customFormat="false" ht="15" hidden="false" customHeight="false" outlineLevel="0" collapsed="false">
      <c r="A40" s="0" t="s">
        <v>89</v>
      </c>
      <c r="B40" s="0" t="s">
        <v>95</v>
      </c>
      <c r="C40" s="0" t="s">
        <v>40</v>
      </c>
      <c r="D40" s="0" t="s">
        <v>45</v>
      </c>
      <c r="E40" s="0" t="n">
        <v>0</v>
      </c>
      <c r="F40" s="0" t="s">
        <v>35</v>
      </c>
      <c r="G40" s="0" t="n">
        <v>152</v>
      </c>
      <c r="H40" s="0" t="n">
        <v>61012</v>
      </c>
      <c r="I40" s="0" t="n">
        <v>5941</v>
      </c>
      <c r="J40" s="0" t="n">
        <v>941</v>
      </c>
      <c r="K40" s="0" t="n">
        <v>36</v>
      </c>
      <c r="L40" s="0" t="n">
        <v>25</v>
      </c>
      <c r="M40" s="0" t="n">
        <v>23147</v>
      </c>
    </row>
    <row r="41" customFormat="false" ht="15" hidden="false" customHeight="false" outlineLevel="0" collapsed="false">
      <c r="A41" s="0" t="s">
        <v>51</v>
      </c>
      <c r="B41" s="0" t="s">
        <v>96</v>
      </c>
      <c r="C41" s="0" t="s">
        <v>40</v>
      </c>
      <c r="D41" s="0" t="s">
        <v>34</v>
      </c>
      <c r="E41" s="0" t="n">
        <v>1</v>
      </c>
      <c r="F41" s="0" t="s">
        <v>35</v>
      </c>
      <c r="G41" s="0" t="n">
        <v>90.1</v>
      </c>
      <c r="H41" s="0" t="n">
        <v>73369</v>
      </c>
      <c r="I41" s="0" t="n">
        <v>3367</v>
      </c>
      <c r="J41" s="0" t="n">
        <v>867</v>
      </c>
      <c r="K41" s="0" t="n">
        <v>36</v>
      </c>
      <c r="L41" s="0" t="n">
        <v>63</v>
      </c>
      <c r="M41" s="0" t="n">
        <v>27865</v>
      </c>
    </row>
    <row r="42" customFormat="false" ht="15" hidden="false" customHeight="false" outlineLevel="0" collapsed="false">
      <c r="A42" s="0" t="s">
        <v>58</v>
      </c>
      <c r="B42" s="0" t="s">
        <v>97</v>
      </c>
      <c r="C42" s="0" t="s">
        <v>40</v>
      </c>
      <c r="D42" s="0" t="s">
        <v>45</v>
      </c>
      <c r="E42" s="0" t="n">
        <v>0</v>
      </c>
      <c r="F42" s="0" t="s">
        <v>35</v>
      </c>
      <c r="G42" s="0" t="n">
        <v>179.1</v>
      </c>
      <c r="H42" s="0" t="n">
        <v>77972</v>
      </c>
      <c r="I42" s="0" t="n">
        <v>6060</v>
      </c>
      <c r="J42" s="0" t="n">
        <v>1060</v>
      </c>
      <c r="K42" s="0" t="n">
        <v>36</v>
      </c>
      <c r="L42" s="0" t="n">
        <v>25</v>
      </c>
      <c r="M42" s="0" t="n">
        <v>31917</v>
      </c>
    </row>
    <row r="43" customFormat="false" ht="15" hidden="false" customHeight="false" outlineLevel="0" collapsed="false">
      <c r="A43" s="0" t="s">
        <v>43</v>
      </c>
      <c r="B43" s="0" t="s">
        <v>98</v>
      </c>
      <c r="C43" s="0" t="s">
        <v>33</v>
      </c>
      <c r="D43" s="0" t="s">
        <v>60</v>
      </c>
      <c r="E43" s="0" t="n">
        <v>0</v>
      </c>
      <c r="F43" s="0" t="s">
        <v>99</v>
      </c>
      <c r="G43" s="0" t="n">
        <v>143.5</v>
      </c>
      <c r="H43" s="0" t="n">
        <v>39600</v>
      </c>
      <c r="I43" s="0" t="n">
        <v>3999</v>
      </c>
      <c r="J43" s="0" t="n">
        <v>259</v>
      </c>
      <c r="K43" s="0" t="n">
        <v>36</v>
      </c>
      <c r="L43" s="0" t="n">
        <v>53</v>
      </c>
      <c r="M43" s="0" t="n">
        <v>8400</v>
      </c>
    </row>
    <row r="44" customFormat="false" ht="15" hidden="false" customHeight="false" outlineLevel="0" collapsed="false">
      <c r="A44" s="0" t="s">
        <v>67</v>
      </c>
      <c r="B44" s="0" t="s">
        <v>100</v>
      </c>
      <c r="C44" s="0" t="s">
        <v>40</v>
      </c>
      <c r="D44" s="0" t="s">
        <v>45</v>
      </c>
      <c r="E44" s="0" t="n">
        <v>0</v>
      </c>
      <c r="F44" s="0" t="s">
        <v>99</v>
      </c>
      <c r="G44" s="0" t="n">
        <v>174.9</v>
      </c>
      <c r="H44" s="0" t="n">
        <v>49945</v>
      </c>
      <c r="I44" s="0" t="n">
        <v>6259</v>
      </c>
      <c r="J44" s="0" t="n">
        <v>299</v>
      </c>
      <c r="K44" s="0" t="n">
        <v>36</v>
      </c>
      <c r="L44" s="0" t="n">
        <v>25</v>
      </c>
      <c r="M44" s="0" t="n">
        <v>15372</v>
      </c>
    </row>
    <row r="45" customFormat="false" ht="15" hidden="false" customHeight="false" outlineLevel="0" collapsed="false">
      <c r="A45" s="0" t="s">
        <v>43</v>
      </c>
      <c r="B45" s="0" t="s">
        <v>101</v>
      </c>
      <c r="C45" s="0" t="s">
        <v>40</v>
      </c>
      <c r="D45" s="0" t="s">
        <v>34</v>
      </c>
      <c r="E45" s="0" t="n">
        <v>1</v>
      </c>
      <c r="F45" s="0" t="s">
        <v>99</v>
      </c>
      <c r="G45" s="0" t="n">
        <v>148.2</v>
      </c>
      <c r="H45" s="0" t="n">
        <v>42600</v>
      </c>
      <c r="I45" s="0" t="n">
        <v>4499</v>
      </c>
      <c r="J45" s="0" t="n">
        <v>319</v>
      </c>
      <c r="K45" s="0" t="n">
        <v>36</v>
      </c>
      <c r="L45" s="0" t="n">
        <v>117</v>
      </c>
      <c r="M45" s="0" t="n">
        <v>8897</v>
      </c>
    </row>
    <row r="46" customFormat="false" ht="15" hidden="false" customHeight="false" outlineLevel="0" collapsed="false">
      <c r="A46" s="0" t="s">
        <v>67</v>
      </c>
      <c r="B46" s="0" t="s">
        <v>102</v>
      </c>
      <c r="C46" s="0" t="s">
        <v>40</v>
      </c>
      <c r="D46" s="0" t="s">
        <v>45</v>
      </c>
      <c r="E46" s="0" t="n">
        <v>0</v>
      </c>
      <c r="F46" s="0" t="s">
        <v>99</v>
      </c>
      <c r="G46" s="0" t="n">
        <v>115.1</v>
      </c>
      <c r="H46" s="0" t="n">
        <v>24995</v>
      </c>
      <c r="I46" s="0" t="n">
        <v>4499</v>
      </c>
      <c r="J46" s="0" t="n">
        <v>179</v>
      </c>
      <c r="K46" s="0" t="n">
        <v>36</v>
      </c>
      <c r="L46" s="0" t="n">
        <v>26</v>
      </c>
      <c r="M46" s="0" t="n">
        <v>9787</v>
      </c>
    </row>
    <row r="47" customFormat="false" ht="15" hidden="false" customHeight="false" outlineLevel="0" collapsed="false">
      <c r="A47" s="0" t="s">
        <v>103</v>
      </c>
      <c r="B47" s="0" t="s">
        <v>104</v>
      </c>
      <c r="C47" s="0" t="s">
        <v>75</v>
      </c>
      <c r="D47" s="0" t="s">
        <v>45</v>
      </c>
      <c r="E47" s="0" t="n">
        <v>0</v>
      </c>
      <c r="F47" s="0" t="s">
        <v>99</v>
      </c>
      <c r="G47" s="0" t="n">
        <v>100.3</v>
      </c>
      <c r="H47" s="0" t="n">
        <v>38800</v>
      </c>
      <c r="I47" s="0" t="n">
        <v>3999</v>
      </c>
      <c r="J47" s="0" t="n">
        <v>379</v>
      </c>
      <c r="K47" s="0" t="n">
        <v>36</v>
      </c>
      <c r="L47" s="0" t="n">
        <v>24</v>
      </c>
      <c r="M47" s="0" t="n">
        <v>14420</v>
      </c>
    </row>
    <row r="48" customFormat="false" ht="15" hidden="false" customHeight="false" outlineLevel="0" collapsed="false">
      <c r="A48" s="0" t="s">
        <v>105</v>
      </c>
      <c r="B48" s="0" t="s">
        <v>106</v>
      </c>
      <c r="C48" s="0" t="s">
        <v>40</v>
      </c>
      <c r="D48" s="0" t="s">
        <v>45</v>
      </c>
      <c r="E48" s="0" t="n">
        <v>0</v>
      </c>
      <c r="F48" s="0" t="s">
        <v>107</v>
      </c>
      <c r="G48" s="0" t="n">
        <v>154.9</v>
      </c>
      <c r="H48" s="0" t="n">
        <v>41330</v>
      </c>
      <c r="I48" s="0" t="n">
        <v>2951</v>
      </c>
      <c r="J48" s="0" t="n">
        <v>451</v>
      </c>
      <c r="K48" s="0" t="n">
        <v>36</v>
      </c>
      <c r="L48" s="0" t="n">
        <v>24</v>
      </c>
      <c r="M48" s="0" t="n">
        <v>11099</v>
      </c>
    </row>
    <row r="49" customFormat="false" ht="15" hidden="false" customHeight="false" outlineLevel="0" collapsed="false">
      <c r="A49" s="0" t="s">
        <v>41</v>
      </c>
      <c r="B49" s="0" t="s">
        <v>108</v>
      </c>
      <c r="C49" s="0" t="s">
        <v>40</v>
      </c>
      <c r="D49" s="0" t="s">
        <v>45</v>
      </c>
      <c r="E49" s="0" t="n">
        <v>0</v>
      </c>
      <c r="F49" s="0" t="s">
        <v>99</v>
      </c>
      <c r="G49" s="0" t="n">
        <v>174.8</v>
      </c>
      <c r="H49" s="0" t="n">
        <v>27500</v>
      </c>
      <c r="I49" s="0" t="n">
        <v>4011</v>
      </c>
      <c r="J49" s="0" t="n">
        <v>251</v>
      </c>
      <c r="K49" s="0" t="n">
        <v>36</v>
      </c>
      <c r="L49" s="0" t="n">
        <v>26</v>
      </c>
      <c r="M49" s="0" t="n">
        <v>8845</v>
      </c>
    </row>
    <row r="50" customFormat="false" ht="15" hidden="false" customHeight="false" outlineLevel="0" collapsed="false">
      <c r="A50" s="0" t="s">
        <v>89</v>
      </c>
      <c r="B50" s="0" t="s">
        <v>109</v>
      </c>
      <c r="C50" s="0" t="s">
        <v>33</v>
      </c>
      <c r="D50" s="0" t="s">
        <v>45</v>
      </c>
      <c r="E50" s="0" t="n">
        <v>0</v>
      </c>
      <c r="F50" s="0" t="s">
        <v>107</v>
      </c>
      <c r="G50" s="0" t="n">
        <v>122.4</v>
      </c>
      <c r="H50" s="0" t="n">
        <v>54400</v>
      </c>
      <c r="I50" s="0" t="n">
        <v>4999</v>
      </c>
      <c r="J50" s="0" t="n">
        <v>589</v>
      </c>
      <c r="K50" s="0" t="n">
        <v>36</v>
      </c>
      <c r="L50" s="0" t="n">
        <v>25</v>
      </c>
      <c r="M50" s="0" t="n">
        <v>14372</v>
      </c>
    </row>
    <row r="51" customFormat="false" ht="15" hidden="false" customHeight="false" outlineLevel="0" collapsed="false">
      <c r="A51" s="0" t="s">
        <v>80</v>
      </c>
      <c r="B51" s="0" t="s">
        <v>110</v>
      </c>
      <c r="C51" s="0" t="s">
        <v>40</v>
      </c>
      <c r="D51" s="0" t="s">
        <v>34</v>
      </c>
      <c r="E51" s="0" t="n">
        <v>1</v>
      </c>
      <c r="F51" s="0" t="s">
        <v>107</v>
      </c>
      <c r="G51" s="0" t="n">
        <v>150.5</v>
      </c>
      <c r="H51" s="0" t="n">
        <v>52450</v>
      </c>
      <c r="I51" s="0" t="n">
        <v>4025</v>
      </c>
      <c r="J51" s="0" t="n">
        <v>595</v>
      </c>
      <c r="K51" s="0" t="n">
        <v>36</v>
      </c>
      <c r="L51" s="0" t="n">
        <v>106</v>
      </c>
      <c r="M51" s="0" t="n">
        <v>15641</v>
      </c>
    </row>
    <row r="52" customFormat="false" ht="15" hidden="false" customHeight="false" outlineLevel="0" collapsed="false">
      <c r="A52" s="0" t="s">
        <v>103</v>
      </c>
      <c r="B52" s="0" t="s">
        <v>111</v>
      </c>
      <c r="C52" s="0" t="s">
        <v>33</v>
      </c>
      <c r="D52" s="0" t="s">
        <v>45</v>
      </c>
      <c r="E52" s="0" t="n">
        <v>0</v>
      </c>
      <c r="F52" s="0" t="s">
        <v>99</v>
      </c>
      <c r="G52" s="0" t="n">
        <v>125.9</v>
      </c>
      <c r="H52" s="0" t="n">
        <v>27895</v>
      </c>
      <c r="I52" s="0" t="n">
        <v>3699</v>
      </c>
      <c r="J52" s="0" t="n">
        <v>279</v>
      </c>
      <c r="K52" s="0" t="n">
        <v>36</v>
      </c>
      <c r="L52" s="0" t="n">
        <v>32</v>
      </c>
      <c r="M52" s="0" t="n">
        <v>12230</v>
      </c>
    </row>
    <row r="53" customFormat="false" ht="15" hidden="false" customHeight="false" outlineLevel="0" collapsed="false">
      <c r="A53" s="0" t="s">
        <v>103</v>
      </c>
      <c r="B53" s="0" t="s">
        <v>112</v>
      </c>
      <c r="C53" s="0" t="s">
        <v>40</v>
      </c>
      <c r="D53" s="0" t="s">
        <v>60</v>
      </c>
      <c r="E53" s="0" t="n">
        <v>0</v>
      </c>
      <c r="F53" s="0" t="s">
        <v>99</v>
      </c>
      <c r="G53" s="0" t="n">
        <v>176.5</v>
      </c>
      <c r="H53" s="0" t="n">
        <v>34050</v>
      </c>
      <c r="I53" s="0" t="n">
        <v>3899</v>
      </c>
      <c r="J53" s="0" t="n">
        <v>369</v>
      </c>
      <c r="K53" s="0" t="n">
        <v>36</v>
      </c>
      <c r="L53" s="0" t="n">
        <v>38</v>
      </c>
      <c r="M53" s="0" t="n">
        <v>16015</v>
      </c>
    </row>
    <row r="54" customFormat="false" ht="15" hidden="false" customHeight="false" outlineLevel="0" collapsed="false">
      <c r="A54" s="0" t="s">
        <v>43</v>
      </c>
      <c r="B54" s="0" t="s">
        <v>113</v>
      </c>
      <c r="C54" s="0" t="s">
        <v>33</v>
      </c>
      <c r="D54" s="0" t="s">
        <v>60</v>
      </c>
      <c r="E54" s="0" t="n">
        <v>0</v>
      </c>
      <c r="F54" s="0" t="s">
        <v>99</v>
      </c>
      <c r="G54" s="0" t="n">
        <v>175.5</v>
      </c>
      <c r="H54" s="0" t="n">
        <v>37858</v>
      </c>
      <c r="I54" s="0" t="n">
        <v>2956</v>
      </c>
      <c r="J54" s="0" t="n">
        <v>456</v>
      </c>
      <c r="K54" s="0" t="n">
        <v>36</v>
      </c>
      <c r="L54" s="0" t="n">
        <v>37</v>
      </c>
      <c r="M54" s="0" t="n">
        <v>11019</v>
      </c>
    </row>
    <row r="55" customFormat="false" ht="15" hidden="false" customHeight="false" outlineLevel="0" collapsed="false">
      <c r="A55" s="0" t="s">
        <v>48</v>
      </c>
      <c r="B55" s="0" t="s">
        <v>114</v>
      </c>
      <c r="C55" s="0" t="s">
        <v>40</v>
      </c>
      <c r="D55" s="0" t="s">
        <v>45</v>
      </c>
      <c r="E55" s="0" t="n">
        <v>0</v>
      </c>
      <c r="F55" s="0" t="s">
        <v>99</v>
      </c>
      <c r="G55" s="0" t="n">
        <v>176.5</v>
      </c>
      <c r="H55" s="0" t="n">
        <v>41775</v>
      </c>
      <c r="I55" s="0" t="n">
        <v>3067</v>
      </c>
      <c r="J55" s="0" t="n">
        <v>567</v>
      </c>
      <c r="K55" s="0" t="n">
        <v>36</v>
      </c>
      <c r="L55" s="0" t="n">
        <v>21</v>
      </c>
      <c r="M55" s="0" t="n">
        <v>11970</v>
      </c>
    </row>
    <row r="56" customFormat="false" ht="15" hidden="false" customHeight="false" outlineLevel="0" collapsed="false">
      <c r="A56" s="0" t="s">
        <v>48</v>
      </c>
      <c r="B56" s="0" t="s">
        <v>115</v>
      </c>
      <c r="C56" s="0" t="s">
        <v>33</v>
      </c>
      <c r="D56" s="0" t="s">
        <v>34</v>
      </c>
      <c r="E56" s="0" t="n">
        <v>1</v>
      </c>
      <c r="F56" s="0" t="s">
        <v>99</v>
      </c>
      <c r="G56" s="0" t="n">
        <v>122.6</v>
      </c>
      <c r="H56" s="0" t="n">
        <v>38215</v>
      </c>
      <c r="I56" s="0" t="n">
        <v>2972</v>
      </c>
      <c r="J56" s="0" t="n">
        <v>472</v>
      </c>
      <c r="K56" s="0" t="n">
        <v>36</v>
      </c>
      <c r="L56" s="0" t="n">
        <v>111</v>
      </c>
      <c r="M56" s="0" t="n">
        <v>4466</v>
      </c>
    </row>
    <row r="57" customFormat="false" ht="15" hidden="false" customHeight="false" outlineLevel="0" collapsed="false">
      <c r="A57" s="0" t="s">
        <v>103</v>
      </c>
      <c r="B57" s="0" t="s">
        <v>116</v>
      </c>
      <c r="C57" s="0" t="s">
        <v>33</v>
      </c>
      <c r="D57" s="0" t="s">
        <v>45</v>
      </c>
      <c r="E57" s="0" t="n">
        <v>0</v>
      </c>
      <c r="F57" s="0" t="s">
        <v>99</v>
      </c>
      <c r="G57" s="0" t="n">
        <v>112.6</v>
      </c>
      <c r="H57" s="0" t="n">
        <v>23950</v>
      </c>
      <c r="I57" s="0" t="n">
        <v>3599</v>
      </c>
      <c r="J57" s="0" t="n">
        <v>249</v>
      </c>
      <c r="K57" s="0" t="n">
        <v>36</v>
      </c>
      <c r="L57" s="0" t="n">
        <v>36</v>
      </c>
      <c r="M57" s="0" t="n">
        <v>10251</v>
      </c>
    </row>
    <row r="58" customFormat="false" ht="15" hidden="false" customHeight="false" outlineLevel="0" collapsed="false">
      <c r="A58" s="0" t="s">
        <v>58</v>
      </c>
      <c r="B58" s="0" t="s">
        <v>117</v>
      </c>
      <c r="C58" s="0" t="s">
        <v>33</v>
      </c>
      <c r="D58" s="0" t="s">
        <v>60</v>
      </c>
      <c r="E58" s="0" t="n">
        <v>0</v>
      </c>
      <c r="F58" s="0" t="s">
        <v>99</v>
      </c>
      <c r="G58" s="0" t="n">
        <v>120.7</v>
      </c>
      <c r="H58" s="0" t="n">
        <v>27950</v>
      </c>
      <c r="I58" s="0" t="n">
        <v>3999</v>
      </c>
      <c r="J58" s="0" t="n">
        <v>299</v>
      </c>
      <c r="K58" s="0" t="n">
        <v>36</v>
      </c>
      <c r="L58" s="0" t="n">
        <v>51</v>
      </c>
      <c r="M58" s="0" t="n">
        <v>10055</v>
      </c>
    </row>
    <row r="59" customFormat="false" ht="15" hidden="false" customHeight="false" outlineLevel="0" collapsed="false">
      <c r="A59" s="0" t="s">
        <v>118</v>
      </c>
      <c r="B59" s="0" t="s">
        <v>119</v>
      </c>
      <c r="C59" s="0" t="s">
        <v>33</v>
      </c>
      <c r="D59" s="0" t="s">
        <v>45</v>
      </c>
      <c r="E59" s="0" t="n">
        <v>0</v>
      </c>
      <c r="F59" s="0" t="s">
        <v>99</v>
      </c>
      <c r="G59" s="0" t="n">
        <v>121.6</v>
      </c>
      <c r="H59" s="0" t="n">
        <v>35800</v>
      </c>
      <c r="I59" s="0" t="n">
        <v>3820</v>
      </c>
      <c r="J59" s="0" t="n">
        <v>426</v>
      </c>
      <c r="K59" s="0" t="n">
        <v>36</v>
      </c>
      <c r="L59" s="0" t="n">
        <v>32</v>
      </c>
      <c r="M59" s="0" t="n">
        <v>10148</v>
      </c>
    </row>
    <row r="60" customFormat="false" ht="15" hidden="false" customHeight="false" outlineLevel="0" collapsed="false">
      <c r="A60" s="0" t="s">
        <v>58</v>
      </c>
      <c r="B60" s="0" t="s">
        <v>120</v>
      </c>
      <c r="C60" s="0" t="s">
        <v>33</v>
      </c>
      <c r="D60" s="0" t="s">
        <v>121</v>
      </c>
      <c r="E60" s="0" t="n">
        <v>0</v>
      </c>
      <c r="F60" s="0" t="s">
        <v>99</v>
      </c>
      <c r="G60" s="0" t="n">
        <v>137.4</v>
      </c>
      <c r="H60" s="0" t="n">
        <v>34070</v>
      </c>
      <c r="I60" s="0" t="n">
        <v>2928</v>
      </c>
      <c r="J60" s="0" t="n">
        <v>428</v>
      </c>
      <c r="K60" s="0" t="n">
        <v>36</v>
      </c>
      <c r="L60" s="0" t="n">
        <v>55</v>
      </c>
      <c r="M60" s="0" t="n">
        <v>12843</v>
      </c>
    </row>
    <row r="61" customFormat="false" ht="15" hidden="false" customHeight="false" outlineLevel="0" collapsed="false">
      <c r="A61" s="0" t="s">
        <v>103</v>
      </c>
      <c r="B61" s="0" t="s">
        <v>122</v>
      </c>
      <c r="C61" s="0" t="s">
        <v>40</v>
      </c>
      <c r="D61" s="0" t="s">
        <v>45</v>
      </c>
      <c r="E61" s="0" t="n">
        <v>0</v>
      </c>
      <c r="F61" s="0" t="s">
        <v>99</v>
      </c>
      <c r="G61" s="0" t="n">
        <v>180.9</v>
      </c>
      <c r="H61" s="0" t="n">
        <v>42435</v>
      </c>
      <c r="I61" s="0" t="n">
        <v>3038</v>
      </c>
      <c r="J61" s="0" t="n">
        <v>538</v>
      </c>
      <c r="K61" s="0" t="n">
        <v>36</v>
      </c>
      <c r="L61" s="0" t="n">
        <v>21</v>
      </c>
      <c r="M61" s="0" t="n">
        <v>15190</v>
      </c>
    </row>
    <row r="62" customFormat="false" ht="15" hidden="false" customHeight="false" outlineLevel="0" collapsed="false">
      <c r="A62" s="0" t="s">
        <v>46</v>
      </c>
      <c r="B62" s="0" t="s">
        <v>123</v>
      </c>
      <c r="C62" s="0" t="s">
        <v>40</v>
      </c>
      <c r="D62" s="0" t="s">
        <v>45</v>
      </c>
      <c r="E62" s="0" t="n">
        <v>0</v>
      </c>
      <c r="F62" s="0" t="s">
        <v>99</v>
      </c>
      <c r="G62" s="0" t="n">
        <v>193.8</v>
      </c>
      <c r="H62" s="0" t="n">
        <v>39672</v>
      </c>
      <c r="I62" s="0" t="n">
        <v>3034</v>
      </c>
      <c r="J62" s="0" t="n">
        <v>534</v>
      </c>
      <c r="K62" s="0" t="n">
        <v>36</v>
      </c>
      <c r="L62" s="0" t="n">
        <v>22</v>
      </c>
      <c r="M62" s="0" t="n">
        <v>11226</v>
      </c>
    </row>
    <row r="63" customFormat="false" ht="15" hidden="false" customHeight="false" outlineLevel="0" collapsed="false">
      <c r="A63" s="0" t="s">
        <v>82</v>
      </c>
      <c r="B63" s="0" t="s">
        <v>124</v>
      </c>
      <c r="C63" s="0" t="s">
        <v>33</v>
      </c>
      <c r="D63" s="0" t="s">
        <v>45</v>
      </c>
      <c r="E63" s="0" t="n">
        <v>0</v>
      </c>
      <c r="F63" s="0" t="s">
        <v>107</v>
      </c>
      <c r="G63" s="0" t="n">
        <v>118</v>
      </c>
      <c r="H63" s="0" t="n">
        <v>44500</v>
      </c>
      <c r="I63" s="0" t="n">
        <v>4639</v>
      </c>
      <c r="J63" s="0" t="n">
        <v>589</v>
      </c>
      <c r="K63" s="0" t="n">
        <v>36</v>
      </c>
      <c r="L63" s="0" t="n">
        <v>32</v>
      </c>
      <c r="M63" s="0" t="n">
        <v>13595</v>
      </c>
    </row>
    <row r="64" customFormat="false" ht="15" hidden="false" customHeight="false" outlineLevel="0" collapsed="false">
      <c r="A64" s="0" t="s">
        <v>43</v>
      </c>
      <c r="B64" s="0" t="s">
        <v>125</v>
      </c>
      <c r="C64" s="0" t="s">
        <v>40</v>
      </c>
      <c r="D64" s="0" t="s">
        <v>45</v>
      </c>
      <c r="E64" s="0" t="n">
        <v>0</v>
      </c>
      <c r="F64" s="0" t="s">
        <v>99</v>
      </c>
      <c r="G64" s="0" t="n">
        <v>184</v>
      </c>
      <c r="H64" s="0" t="n">
        <v>41866</v>
      </c>
      <c r="I64" s="0" t="n">
        <v>2984</v>
      </c>
      <c r="J64" s="0" t="n">
        <v>484</v>
      </c>
      <c r="K64" s="0" t="n">
        <v>36</v>
      </c>
      <c r="L64" s="0" t="n">
        <v>24</v>
      </c>
      <c r="M64" s="0" t="n">
        <v>14730</v>
      </c>
    </row>
    <row r="65" customFormat="false" ht="15" hidden="false" customHeight="false" outlineLevel="0" collapsed="false">
      <c r="A65" s="0" t="s">
        <v>48</v>
      </c>
      <c r="B65" s="0" t="s">
        <v>126</v>
      </c>
      <c r="C65" s="0" t="s">
        <v>75</v>
      </c>
      <c r="D65" s="0" t="s">
        <v>45</v>
      </c>
      <c r="E65" s="0" t="n">
        <v>0</v>
      </c>
      <c r="F65" s="0" t="s">
        <v>127</v>
      </c>
      <c r="G65" s="0" t="n">
        <v>90.1</v>
      </c>
      <c r="H65" s="0" t="n">
        <v>30030</v>
      </c>
      <c r="I65" s="0" t="n">
        <v>4659</v>
      </c>
      <c r="J65" s="0" t="n">
        <v>359</v>
      </c>
      <c r="K65" s="0" t="n">
        <v>36</v>
      </c>
      <c r="L65" s="0" t="n">
        <v>23</v>
      </c>
      <c r="M65" s="0" t="n">
        <v>13061</v>
      </c>
    </row>
    <row r="66" customFormat="false" ht="15" hidden="false" customHeight="false" outlineLevel="0" collapsed="false">
      <c r="A66" s="0" t="s">
        <v>58</v>
      </c>
      <c r="B66" s="0" t="s">
        <v>128</v>
      </c>
      <c r="C66" s="0" t="s">
        <v>33</v>
      </c>
      <c r="D66" s="0" t="s">
        <v>60</v>
      </c>
      <c r="E66" s="0" t="n">
        <v>0</v>
      </c>
      <c r="F66" s="0" t="s">
        <v>99</v>
      </c>
      <c r="G66" s="0" t="n">
        <v>110.4</v>
      </c>
      <c r="H66" s="0" t="n">
        <v>23500</v>
      </c>
      <c r="I66" s="0" t="n">
        <v>3269</v>
      </c>
      <c r="J66" s="0" t="n">
        <v>269</v>
      </c>
      <c r="K66" s="0" t="n">
        <v>39</v>
      </c>
      <c r="L66" s="0" t="n">
        <v>33</v>
      </c>
      <c r="M66" s="0" t="n">
        <v>10204</v>
      </c>
    </row>
    <row r="67" customFormat="false" ht="15" hidden="false" customHeight="false" outlineLevel="0" collapsed="false">
      <c r="A67" s="0" t="s">
        <v>55</v>
      </c>
      <c r="B67" s="0" t="s">
        <v>129</v>
      </c>
      <c r="C67" s="0" t="s">
        <v>75</v>
      </c>
      <c r="D67" s="0" t="s">
        <v>45</v>
      </c>
      <c r="E67" s="0" t="n">
        <v>0</v>
      </c>
      <c r="F67" s="0" t="s">
        <v>99</v>
      </c>
      <c r="G67" s="0" t="n">
        <v>90.1</v>
      </c>
      <c r="H67" s="0" t="n">
        <v>37100</v>
      </c>
      <c r="I67" s="0" t="n">
        <v>4409</v>
      </c>
      <c r="J67" s="0" t="n">
        <v>499</v>
      </c>
      <c r="K67" s="0" t="n">
        <v>36</v>
      </c>
      <c r="L67" s="0" t="n">
        <v>20</v>
      </c>
      <c r="M67" s="0" t="n">
        <v>16255</v>
      </c>
    </row>
    <row r="68" customFormat="false" ht="15" hidden="false" customHeight="false" outlineLevel="0" collapsed="false">
      <c r="A68" s="0" t="s">
        <v>41</v>
      </c>
      <c r="B68" s="0" t="s">
        <v>130</v>
      </c>
      <c r="C68" s="0" t="s">
        <v>40</v>
      </c>
      <c r="D68" s="0" t="s">
        <v>45</v>
      </c>
      <c r="E68" s="0" t="n">
        <v>0</v>
      </c>
      <c r="F68" s="0" t="s">
        <v>99</v>
      </c>
      <c r="G68" s="0" t="n">
        <v>183.8</v>
      </c>
      <c r="H68" s="0" t="n">
        <v>40457</v>
      </c>
      <c r="I68" s="0" t="n">
        <v>2920</v>
      </c>
      <c r="J68" s="0" t="n">
        <v>420</v>
      </c>
      <c r="K68" s="0" t="n">
        <v>36</v>
      </c>
      <c r="L68" s="0" t="n">
        <v>22</v>
      </c>
      <c r="M68" s="0" t="n">
        <v>12016</v>
      </c>
    </row>
    <row r="69" customFormat="false" ht="15" hidden="false" customHeight="false" outlineLevel="0" collapsed="false">
      <c r="A69" s="0" t="s">
        <v>51</v>
      </c>
      <c r="B69" s="0" t="s">
        <v>131</v>
      </c>
      <c r="C69" s="0" t="s">
        <v>33</v>
      </c>
      <c r="D69" s="0" t="s">
        <v>34</v>
      </c>
      <c r="E69" s="0" t="n">
        <v>1</v>
      </c>
      <c r="F69" s="0" t="s">
        <v>99</v>
      </c>
      <c r="G69" s="0" t="n">
        <v>148.9</v>
      </c>
      <c r="H69" s="0" t="n">
        <v>32180</v>
      </c>
      <c r="I69" s="0" t="n">
        <v>2983</v>
      </c>
      <c r="J69" s="0" t="n">
        <v>483</v>
      </c>
      <c r="K69" s="0" t="n">
        <v>36</v>
      </c>
      <c r="L69" s="0" t="n">
        <v>120</v>
      </c>
      <c r="M69" s="0" t="n">
        <v>6700</v>
      </c>
    </row>
    <row r="70" customFormat="false" ht="15" hidden="false" customHeight="false" outlineLevel="0" collapsed="false">
      <c r="A70" s="0" t="s">
        <v>48</v>
      </c>
      <c r="B70" s="0" t="s">
        <v>132</v>
      </c>
      <c r="C70" s="0" t="s">
        <v>75</v>
      </c>
      <c r="D70" s="0" t="s">
        <v>45</v>
      </c>
      <c r="E70" s="0" t="n">
        <v>0</v>
      </c>
      <c r="F70" s="0" t="s">
        <v>107</v>
      </c>
      <c r="G70" s="0" t="n">
        <v>90.2</v>
      </c>
      <c r="H70" s="0" t="n">
        <v>46040</v>
      </c>
      <c r="I70" s="0" t="n">
        <v>6059</v>
      </c>
      <c r="J70" s="0" t="n">
        <v>649</v>
      </c>
      <c r="K70" s="0" t="n">
        <v>36</v>
      </c>
      <c r="L70" s="0" t="n">
        <v>18</v>
      </c>
      <c r="M70" s="0" t="n">
        <v>11923</v>
      </c>
    </row>
    <row r="71" customFormat="false" ht="15" hidden="false" customHeight="false" outlineLevel="0" collapsed="false">
      <c r="A71" s="0" t="s">
        <v>51</v>
      </c>
      <c r="B71" s="0" t="s">
        <v>133</v>
      </c>
      <c r="C71" s="0" t="s">
        <v>75</v>
      </c>
      <c r="D71" s="0" t="s">
        <v>45</v>
      </c>
      <c r="E71" s="0" t="n">
        <v>0</v>
      </c>
      <c r="F71" s="0" t="s">
        <v>107</v>
      </c>
      <c r="G71" s="0" t="n">
        <v>91.4</v>
      </c>
      <c r="H71" s="0" t="n">
        <v>29500</v>
      </c>
      <c r="I71" s="0" t="n">
        <v>3959</v>
      </c>
      <c r="J71" s="0" t="n">
        <v>439</v>
      </c>
      <c r="K71" s="0" t="n">
        <v>36</v>
      </c>
      <c r="L71" s="0" t="n">
        <v>23</v>
      </c>
      <c r="M71" s="0" t="n">
        <v>10711</v>
      </c>
    </row>
    <row r="72" customFormat="false" ht="15" hidden="false" customHeight="false" outlineLevel="0" collapsed="false">
      <c r="A72" s="0" t="s">
        <v>63</v>
      </c>
      <c r="B72" s="0" t="s">
        <v>134</v>
      </c>
      <c r="C72" s="0" t="s">
        <v>75</v>
      </c>
      <c r="D72" s="0" t="s">
        <v>45</v>
      </c>
      <c r="E72" s="0" t="n">
        <v>0</v>
      </c>
      <c r="F72" s="0" t="s">
        <v>99</v>
      </c>
      <c r="G72" s="0" t="n">
        <v>87.3</v>
      </c>
      <c r="H72" s="0" t="n">
        <v>27468</v>
      </c>
      <c r="I72" s="0" t="n">
        <v>3000</v>
      </c>
      <c r="J72" s="0" t="n">
        <v>438</v>
      </c>
      <c r="K72" s="0" t="n">
        <v>36</v>
      </c>
      <c r="L72" s="0" t="n">
        <v>37</v>
      </c>
      <c r="M72" s="0" t="n">
        <v>9648</v>
      </c>
    </row>
    <row r="73" customFormat="false" ht="15" hidden="false" customHeight="false" outlineLevel="0" collapsed="false">
      <c r="A73" s="0" t="s">
        <v>51</v>
      </c>
      <c r="B73" s="0" t="s">
        <v>135</v>
      </c>
      <c r="C73" s="0" t="s">
        <v>40</v>
      </c>
      <c r="D73" s="0" t="s">
        <v>34</v>
      </c>
      <c r="E73" s="0" t="n">
        <v>1</v>
      </c>
      <c r="F73" s="0" t="s">
        <v>99</v>
      </c>
      <c r="G73" s="0" t="n">
        <v>148.9</v>
      </c>
      <c r="H73" s="0" t="n">
        <v>31880</v>
      </c>
      <c r="I73" s="0" t="n">
        <v>3064</v>
      </c>
      <c r="J73" s="0" t="n">
        <v>564</v>
      </c>
      <c r="K73" s="0" t="n">
        <v>36</v>
      </c>
      <c r="L73" s="0" t="n">
        <v>115</v>
      </c>
      <c r="M73" s="0" t="n">
        <v>7551</v>
      </c>
    </row>
    <row r="74" customFormat="false" ht="15" hidden="false" customHeight="false" outlineLevel="0" collapsed="false">
      <c r="A74" s="0" t="s">
        <v>41</v>
      </c>
      <c r="B74" s="0" t="s">
        <v>136</v>
      </c>
      <c r="C74" s="0" t="s">
        <v>75</v>
      </c>
      <c r="D74" s="0" t="s">
        <v>45</v>
      </c>
      <c r="E74" s="0" t="n">
        <v>0</v>
      </c>
      <c r="F74" s="0" t="s">
        <v>99</v>
      </c>
      <c r="G74" s="0" t="n">
        <v>87.2</v>
      </c>
      <c r="H74" s="0" t="n">
        <v>26900</v>
      </c>
      <c r="I74" s="0" t="n">
        <v>3959</v>
      </c>
      <c r="J74" s="0" t="n">
        <v>439</v>
      </c>
      <c r="K74" s="0" t="n">
        <v>36</v>
      </c>
      <c r="L74" s="0" t="n">
        <v>23</v>
      </c>
      <c r="M74" s="0" t="n">
        <v>10095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3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0"/>
  </cols>
  <sheetData>
    <row r="1" customFormat="false" ht="15" hidden="false" customHeight="false" outlineLevel="0" collapsed="false">
      <c r="A1" s="0" t="s">
        <v>137</v>
      </c>
      <c r="B1" s="0" t="s">
        <v>138</v>
      </c>
    </row>
    <row r="2" customFormat="false" ht="15" hidden="false" customHeight="false" outlineLevel="0" collapsed="false">
      <c r="A2" s="0" t="s">
        <v>139</v>
      </c>
      <c r="B2" s="0" t="n">
        <v>0.047</v>
      </c>
    </row>
    <row r="3" customFormat="false" ht="15" hidden="false" customHeight="false" outlineLevel="0" collapsed="false">
      <c r="A3" s="0" t="s">
        <v>140</v>
      </c>
      <c r="B3" s="0" t="n">
        <v>0.00391666666666667</v>
      </c>
    </row>
    <row r="4" customFormat="false" ht="15" hidden="false" customHeight="false" outlineLevel="0" collapsed="false">
      <c r="A4" s="0" t="s">
        <v>141</v>
      </c>
      <c r="B4" s="0" t="n">
        <v>0.0699</v>
      </c>
    </row>
    <row r="5" customFormat="false" ht="15" hidden="false" customHeight="false" outlineLevel="0" collapsed="false">
      <c r="A5" s="0" t="s">
        <v>142</v>
      </c>
      <c r="B5" s="0" t="n">
        <v>0.005825</v>
      </c>
    </row>
    <row r="6" customFormat="false" ht="15" hidden="false" customHeight="false" outlineLevel="0" collapsed="false">
      <c r="A6" s="0" t="s">
        <v>143</v>
      </c>
      <c r="B6" s="0" t="n">
        <v>60</v>
      </c>
    </row>
    <row r="7" customFormat="false" ht="15" hidden="false" customHeight="false" outlineLevel="0" collapsed="false">
      <c r="A7" s="0" t="s">
        <v>144</v>
      </c>
      <c r="B7" s="0" t="n">
        <v>0.1</v>
      </c>
    </row>
    <row r="8" customFormat="false" ht="15" hidden="false" customHeight="false" outlineLevel="0" collapsed="false">
      <c r="A8" s="0" t="s">
        <v>145</v>
      </c>
      <c r="B8" s="0" t="n">
        <v>0.05</v>
      </c>
    </row>
    <row r="9" customFormat="false" ht="15" hidden="false" customHeight="false" outlineLevel="0" collapsed="false">
      <c r="A9" s="0" t="s">
        <v>146</v>
      </c>
      <c r="B9" s="0" t="n">
        <v>400</v>
      </c>
    </row>
    <row r="10" customFormat="false" ht="15" hidden="false" customHeight="false" outlineLevel="0" collapsed="false">
      <c r="A10" s="0" t="s">
        <v>147</v>
      </c>
      <c r="B10" s="0" t="n">
        <v>10000</v>
      </c>
    </row>
    <row r="11" customFormat="false" ht="15" hidden="false" customHeight="false" outlineLevel="0" collapsed="false">
      <c r="A11" s="0" t="s">
        <v>148</v>
      </c>
      <c r="B11" s="0" t="n">
        <v>12</v>
      </c>
    </row>
    <row r="12" customFormat="false" ht="15" hidden="false" customHeight="false" outlineLevel="0" collapsed="false">
      <c r="A12" s="0" t="s">
        <v>149</v>
      </c>
      <c r="B12" s="0" t="n">
        <v>110000</v>
      </c>
    </row>
    <row r="13" customFormat="false" ht="15" hidden="false" customHeight="false" outlineLevel="0" collapsed="false">
      <c r="A13" s="0" t="s">
        <v>150</v>
      </c>
      <c r="B13" s="0" t="n">
        <v>3.1</v>
      </c>
    </row>
    <row r="14" customFormat="false" ht="15" hidden="false" customHeight="false" outlineLevel="0" collapsed="false">
      <c r="A14" s="0" t="s">
        <v>151</v>
      </c>
      <c r="B14" s="0" t="n">
        <v>0.17</v>
      </c>
    </row>
    <row r="15" customFormat="false" ht="15" hidden="false" customHeight="false" outlineLevel="0" collapsed="false">
      <c r="A15" s="0" t="s">
        <v>152</v>
      </c>
      <c r="B15" s="0" t="n">
        <v>1600</v>
      </c>
    </row>
    <row r="16" customFormat="false" ht="15" hidden="false" customHeight="false" outlineLevel="0" collapsed="false">
      <c r="A16" s="0" t="s">
        <v>153</v>
      </c>
      <c r="B16" s="0" t="n">
        <v>0.12</v>
      </c>
    </row>
    <row r="17" customFormat="false" ht="15" hidden="false" customHeight="false" outlineLevel="0" collapsed="false">
      <c r="A17" s="0" t="s">
        <v>154</v>
      </c>
      <c r="B17" s="0" t="n">
        <v>150</v>
      </c>
    </row>
    <row r="18" customFormat="false" ht="15" hidden="false" customHeight="false" outlineLevel="0" collapsed="false">
      <c r="A18" s="0" t="s">
        <v>155</v>
      </c>
      <c r="B18" s="0" t="n">
        <v>900</v>
      </c>
    </row>
    <row r="19" customFormat="false" ht="15" hidden="false" customHeight="false" outlineLevel="0" collapsed="false">
      <c r="A19" s="0" t="s">
        <v>156</v>
      </c>
      <c r="B19" s="0" t="n">
        <v>1.15</v>
      </c>
    </row>
    <row r="20" customFormat="false" ht="15" hidden="false" customHeight="false" outlineLevel="0" collapsed="false">
      <c r="A20" s="0" t="s">
        <v>157</v>
      </c>
      <c r="B20" s="0" t="n">
        <v>3</v>
      </c>
    </row>
    <row r="21" customFormat="false" ht="15" hidden="false" customHeight="false" outlineLevel="0" collapsed="false">
      <c r="A21" s="0" t="s">
        <v>158</v>
      </c>
      <c r="B21" s="0" t="n">
        <v>1.6</v>
      </c>
    </row>
    <row r="22" customFormat="false" ht="15" hidden="false" customHeight="false" outlineLevel="0" collapsed="false">
      <c r="A22" s="0" t="s">
        <v>159</v>
      </c>
      <c r="B22" s="0" t="n">
        <v>0.03</v>
      </c>
    </row>
    <row r="23" customFormat="false" ht="15" hidden="false" customHeight="false" outlineLevel="0" collapsed="false">
      <c r="A23" s="0" t="s">
        <v>160</v>
      </c>
      <c r="B23" s="0" t="n">
        <v>1000</v>
      </c>
    </row>
    <row r="24" customFormat="false" ht="15" hidden="false" customHeight="false" outlineLevel="0" collapsed="false">
      <c r="A24" s="0" t="s">
        <v>161</v>
      </c>
      <c r="B24" s="0" t="n">
        <v>10000</v>
      </c>
    </row>
    <row r="25" customFormat="false" ht="15" hidden="false" customHeight="false" outlineLevel="0" collapsed="false">
      <c r="A25" s="0" t="s">
        <v>162</v>
      </c>
      <c r="B25" s="0" t="n">
        <v>0.25</v>
      </c>
    </row>
    <row r="26" customFormat="false" ht="15" hidden="false" customHeight="false" outlineLevel="0" collapsed="false">
      <c r="A26" s="0" t="s">
        <v>163</v>
      </c>
      <c r="B26" s="0" t="n">
        <v>0.04</v>
      </c>
    </row>
    <row r="27" customFormat="false" ht="15" hidden="false" customHeight="false" outlineLevel="0" collapsed="false">
      <c r="A27" s="0" t="s">
        <v>164</v>
      </c>
      <c r="B27" s="0" t="n">
        <v>700</v>
      </c>
    </row>
    <row r="28" customFormat="false" ht="15" hidden="false" customHeight="false" outlineLevel="0" collapsed="false">
      <c r="A28" s="0" t="s">
        <v>165</v>
      </c>
      <c r="B28" s="0" t="n">
        <v>400</v>
      </c>
    </row>
    <row r="29" customFormat="false" ht="15" hidden="false" customHeight="false" outlineLevel="0" collapsed="false">
      <c r="A29" s="0" t="s">
        <v>166</v>
      </c>
      <c r="B29" s="0" t="n">
        <v>36</v>
      </c>
    </row>
    <row r="30" customFormat="false" ht="15" hidden="false" customHeight="false" outlineLevel="0" collapsed="false">
      <c r="A30" s="0" t="s">
        <v>167</v>
      </c>
      <c r="B30" s="0" t="n">
        <v>0.57</v>
      </c>
    </row>
    <row r="31" customFormat="false" ht="15" hidden="false" customHeight="false" outlineLevel="0" collapsed="false">
      <c r="A31" s="0" t="s">
        <v>168</v>
      </c>
      <c r="B31" s="0" t="n">
        <v>0.005</v>
      </c>
    </row>
    <row r="32" customFormat="false" ht="15" hidden="false" customHeight="false" outlineLevel="0" collapsed="false">
      <c r="A32" s="0" t="s">
        <v>169</v>
      </c>
      <c r="B32" s="0" t="n">
        <v>0.08</v>
      </c>
    </row>
    <row r="33" customFormat="false" ht="15" hidden="false" customHeight="false" outlineLevel="0" collapsed="false">
      <c r="A33" s="0" t="s">
        <v>170</v>
      </c>
      <c r="B33" s="0" t="n">
        <v>0.25</v>
      </c>
    </row>
    <row r="34" customFormat="false" ht="15" hidden="false" customHeight="false" outlineLevel="0" collapsed="false">
      <c r="A34" s="0" t="s">
        <v>171</v>
      </c>
      <c r="B34" s="0" t="n">
        <v>0.2</v>
      </c>
    </row>
    <row r="35" customFormat="false" ht="15" hidden="false" customHeight="false" outlineLevel="0" collapsed="false">
      <c r="A35" s="0" t="s">
        <v>172</v>
      </c>
      <c r="B35" s="0" t="n">
        <v>0.4</v>
      </c>
    </row>
    <row r="36" customFormat="false" ht="15" hidden="false" customHeight="false" outlineLevel="0" collapsed="false">
      <c r="A36" s="0" t="s">
        <v>173</v>
      </c>
      <c r="B36" s="0" t="n">
        <v>0.3</v>
      </c>
    </row>
    <row r="37" customFormat="false" ht="15" hidden="false" customHeight="false" outlineLevel="0" collapsed="false">
      <c r="A37" s="0" t="s">
        <v>174</v>
      </c>
      <c r="B37" s="0" t="n">
        <v>0.1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E2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sheetData>
    <row r="1" customFormat="false" ht="15" hidden="false" customHeight="false" outlineLevel="0" collapsed="false">
      <c r="A1" s="0" t="s">
        <v>18</v>
      </c>
      <c r="B1" s="0" t="s">
        <v>19</v>
      </c>
      <c r="C1" s="0" t="s">
        <v>175</v>
      </c>
      <c r="D1" s="0" t="s">
        <v>22</v>
      </c>
      <c r="E1" s="0" t="s">
        <v>25</v>
      </c>
      <c r="F1" s="0" t="s">
        <v>26</v>
      </c>
      <c r="G1" s="0" t="s">
        <v>27</v>
      </c>
      <c r="H1" s="0" t="s">
        <v>28</v>
      </c>
      <c r="I1" s="0" t="s">
        <v>29</v>
      </c>
      <c r="J1" s="0" t="s">
        <v>30</v>
      </c>
      <c r="K1" s="0" t="s">
        <v>23</v>
      </c>
      <c r="L1" s="0" t="s">
        <v>24</v>
      </c>
      <c r="M1" s="0" t="s">
        <v>176</v>
      </c>
      <c r="N1" s="0" t="s">
        <v>177</v>
      </c>
      <c r="O1" s="0" t="s">
        <v>178</v>
      </c>
      <c r="P1" s="0" t="s">
        <v>179</v>
      </c>
      <c r="Q1" s="0" t="s">
        <v>180</v>
      </c>
      <c r="R1" s="0" t="s">
        <v>181</v>
      </c>
      <c r="S1" s="0" t="s">
        <v>182</v>
      </c>
      <c r="T1" s="0" t="s">
        <v>183</v>
      </c>
      <c r="U1" s="0" t="s">
        <v>184</v>
      </c>
      <c r="V1" s="0" t="s">
        <v>185</v>
      </c>
      <c r="W1" s="0" t="s">
        <v>186</v>
      </c>
      <c r="X1" s="0" t="s">
        <v>187</v>
      </c>
      <c r="Y1" s="0" t="s">
        <v>188</v>
      </c>
      <c r="Z1" s="0" t="s">
        <v>189</v>
      </c>
      <c r="AA1" s="0" t="s">
        <v>190</v>
      </c>
      <c r="AB1" s="0" t="s">
        <v>191</v>
      </c>
      <c r="AC1" s="0" t="s">
        <v>192</v>
      </c>
      <c r="AD1" s="0" t="s">
        <v>193</v>
      </c>
      <c r="AE1" s="0" t="s">
        <v>194</v>
      </c>
      <c r="AF1" s="0" t="s">
        <v>195</v>
      </c>
      <c r="AG1" s="0" t="s">
        <v>196</v>
      </c>
      <c r="AH1" s="0" t="s">
        <v>197</v>
      </c>
      <c r="AI1" s="0" t="s">
        <v>198</v>
      </c>
      <c r="AJ1" s="0" t="s">
        <v>199</v>
      </c>
      <c r="AK1" s="0" t="s">
        <v>200</v>
      </c>
      <c r="AL1" s="0" t="s">
        <v>201</v>
      </c>
      <c r="AM1" s="0" t="s">
        <v>202</v>
      </c>
      <c r="AN1" s="0" t="s">
        <v>203</v>
      </c>
      <c r="AO1" s="0" t="s">
        <v>204</v>
      </c>
      <c r="AP1" s="0" t="s">
        <v>205</v>
      </c>
      <c r="AQ1" s="0" t="s">
        <v>206</v>
      </c>
      <c r="AR1" s="0" t="s">
        <v>207</v>
      </c>
      <c r="AS1" s="0" t="s">
        <v>208</v>
      </c>
      <c r="AT1" s="0" t="s">
        <v>209</v>
      </c>
      <c r="AU1" s="0" t="s">
        <v>210</v>
      </c>
      <c r="AV1" s="0" t="s">
        <v>211</v>
      </c>
      <c r="AW1" s="0" t="s">
        <v>212</v>
      </c>
      <c r="AX1" s="0" t="s">
        <v>213</v>
      </c>
      <c r="AY1" s="0" t="s">
        <v>214</v>
      </c>
      <c r="AZ1" s="0" t="s">
        <v>215</v>
      </c>
      <c r="BA1" s="0" t="s">
        <v>216</v>
      </c>
      <c r="BB1" s="0" t="s">
        <v>217</v>
      </c>
      <c r="BC1" s="0" t="s">
        <v>218</v>
      </c>
      <c r="BD1" s="0" t="s">
        <v>219</v>
      </c>
      <c r="BE1" s="0" t="s">
        <v>220</v>
      </c>
    </row>
    <row r="2" customFormat="false" ht="15" hidden="false" customHeight="false" outlineLevel="0" collapsed="false">
      <c r="A2" s="0" t="s">
        <v>31</v>
      </c>
      <c r="B2" s="0" t="s">
        <v>32</v>
      </c>
      <c r="C2" s="0" t="n">
        <v>3</v>
      </c>
      <c r="D2" s="0" t="n">
        <v>1</v>
      </c>
      <c r="E2" s="0" t="n">
        <v>43277</v>
      </c>
      <c r="F2" s="0" t="n">
        <v>1102</v>
      </c>
      <c r="G2" s="0" t="n">
        <v>458</v>
      </c>
      <c r="H2" s="0" t="n">
        <v>36</v>
      </c>
      <c r="I2" s="0" t="n">
        <v>104</v>
      </c>
      <c r="J2" s="0" t="n">
        <v>12581</v>
      </c>
      <c r="K2" s="0" t="s">
        <v>35</v>
      </c>
      <c r="L2" s="0" t="n">
        <v>163.5</v>
      </c>
      <c r="M2" s="0" t="n">
        <f aca="false">MAX(Assumptions!$B$33,Assumptions!$B$30-Assumptions!$B$31*(H2-36)-IF(D2=1,Assumptions!$B$32,0))</f>
        <v>0.49</v>
      </c>
      <c r="N2" s="0" t="n">
        <f aca="false">E2*M2</f>
        <v>21205.73</v>
      </c>
      <c r="O2" s="0" t="n">
        <f aca="false">1-POWER(J2/E2,0.1)</f>
        <v>0.116216678370963</v>
      </c>
      <c r="P2" s="0" t="n">
        <f aca="false">E2*(1+Assumptions!$B$8)+Assumptions!$B$9</f>
        <v>45840.85</v>
      </c>
      <c r="Q2" s="0" t="n">
        <f aca="false">IF(D2=1,Assumptions!$B$14*33.7,Assumptions!$B$13)</f>
        <v>5.729</v>
      </c>
      <c r="R2" s="0" t="n">
        <f aca="false">(Assumptions!$B$10/I2)*Q2</f>
        <v>550.865384615385</v>
      </c>
      <c r="S2" s="0" t="n">
        <f aca="false">Assumptions!$B$15+Assumptions!$B$17</f>
        <v>1750</v>
      </c>
      <c r="T2" s="0" t="n">
        <f aca="false">Assumptions!$B$15*(1+Assumptions!$B$16)+Assumptions!$B$17</f>
        <v>1942</v>
      </c>
      <c r="U2" s="0" t="n">
        <f aca="false">IF(OR(C2&gt;Assumptions!$B$11,Assumptions!$B$10*C2&gt;Assumptions!$B$12),1,0)</f>
        <v>0</v>
      </c>
      <c r="V2" s="0" t="n">
        <f aca="false">MAX(0.6,1-Assumptions!$B$22*MAX(0,(Assumptions!$B$10-10000)*C2)/10000)</f>
        <v>1</v>
      </c>
      <c r="W2" s="0" t="n">
        <f aca="false">IF(U2=1,Assumptions!$B$23,MAX(Assumptions!$B$23,E2*POWER(1-O2,C2)*V2))</f>
        <v>29874.080843954</v>
      </c>
      <c r="X2" s="0" t="n">
        <f aca="true">SUMPRODUCT((ROW(INDIRECT("1:"&amp;C2))&gt;Assumptions!$B$20)*Assumptions!$B$18*POWER(Assumptions!$B$19,ROW(INDIRECT("1:"&amp;C2))-Assumptions!$B$20-1)*IF(ROW(INDIRECT("1:"&amp;C2))&gt;Assumptions!$B$11,Assumptions!$B$21,1)/POWER(1+Assumptions!$B$2,ROW(INDIRECT("1:"&amp;C2))))</f>
        <v>0</v>
      </c>
      <c r="Y2" s="1" t="n">
        <f aca="false">-PV(Assumptions!$B$2,C2,R2+S2)+X2</f>
        <v>6301.21683567571</v>
      </c>
      <c r="Z2" s="1" t="n">
        <f aca="false">P2+Y2-(W2/POWER(1+Assumptions!$B$2,C2))</f>
        <v>26113.2452293451</v>
      </c>
      <c r="AA2" s="0" t="n">
        <f aca="false">P2*Assumptions!$B$7</f>
        <v>4584.085</v>
      </c>
      <c r="AB2" s="0" t="n">
        <f aca="false">P2-AA2</f>
        <v>41256.765</v>
      </c>
      <c r="AC2" s="1" t="n">
        <f aca="false">PMT(Assumptions!$B$5,Assumptions!$B$6,-AB2)</f>
        <v>816.738758800452</v>
      </c>
      <c r="AD2" s="0" t="n">
        <f aca="false">C2*12</f>
        <v>36</v>
      </c>
      <c r="AE2" s="0" t="n">
        <f aca="false">MIN(Assumptions!$B$6,AD2)</f>
        <v>36</v>
      </c>
      <c r="AF2" s="1" t="n">
        <f aca="false">IF(AD2&gt;=Assumptions!$B$6,0,-PV(Assumptions!$B$5,Assumptions!$B$6-AD2,AC2))</f>
        <v>18243.7884819295</v>
      </c>
      <c r="AG2" s="1" t="n">
        <f aca="false">AA2+(-PV(Assumptions!$B$3,AE2,AC2))+Y2-((W2-AF2)/POWER(1+Assumptions!$B$2,C2))</f>
        <v>28125.9229936804</v>
      </c>
      <c r="AH2" s="0" t="n">
        <f aca="false">H2/12</f>
        <v>3</v>
      </c>
      <c r="AI2" s="0" t="n">
        <f aca="false">MAX(0,Assumptions!$B$10-Assumptions!$B$24)*Assumptions!$B$25</f>
        <v>0</v>
      </c>
      <c r="AJ2" s="1" t="n">
        <f aca="false">F2+Assumptions!$B$27+(-PV(Assumptions!$B$3,H2-1,G2))</f>
        <v>16754.5050693204</v>
      </c>
      <c r="AK2" s="0" t="n">
        <f aca="false">CEILING(C2/AH2,1)</f>
        <v>1</v>
      </c>
      <c r="AL2" s="0" t="n">
        <f aca="false">(1+Assumptions!$B$26)/POWER(1+Assumptions!$B$2,AH2)</f>
        <v>0.906135810905202</v>
      </c>
      <c r="AM2" s="0" t="n">
        <f aca="false">IF(ABS(1-AL2)&lt;0.000000000001,AK2,(1-POWER(AL2,AK2))/(1-AL2))</f>
        <v>1</v>
      </c>
      <c r="AN2" s="0" t="n">
        <f aca="false">1/POWER(1+Assumptions!$B$2,AH2)</f>
        <v>0.871284433562695</v>
      </c>
      <c r="AO2" s="0" t="n">
        <f aca="false">IF(ABS(1-AN2)&lt;0.000000000001,AK2,AN2*(1-POWER(AN2,AK2))/(1-AN2))</f>
        <v>0.871284433562695</v>
      </c>
      <c r="AP2" s="1" t="n">
        <f aca="false">AJ2*AM2+Assumptions!$B$28*AO2+(-PV(Assumptions!$B$2,C2,R2+T2+AI2))</f>
        <v>23930.0524604629</v>
      </c>
      <c r="AQ2" s="0" t="n">
        <f aca="false">N2*(1+Assumptions!$B$8)</f>
        <v>22266.0165</v>
      </c>
      <c r="AR2" s="1" t="n">
        <f aca="false">PMT(Assumptions!$B$5,Assumptions!$B$29,-AQ2)</f>
        <v>687.408149125773</v>
      </c>
      <c r="AS2" s="0" t="n">
        <f aca="false">MAX(0,AD2-H2)</f>
        <v>0</v>
      </c>
      <c r="AT2" s="0" t="n">
        <f aca="false">MIN(Assumptions!$B$29,AS2)</f>
        <v>0</v>
      </c>
      <c r="AU2" s="1" t="n">
        <f aca="false">IF(AS2&gt;=Assumptions!$B$29,0,-PV(Assumptions!$B$5,Assumptions!$B$29-AS2,AR2))</f>
        <v>22266.0164999999</v>
      </c>
      <c r="AV2" s="1" t="n">
        <f aca="false">(-PV(Assumptions!$B$3,AT2,AR2))/POWER(1+Assumptions!$B$2,AH2)</f>
        <v>0</v>
      </c>
      <c r="AW2" s="1" t="n">
        <f aca="false">-PV(Assumptions!$B$2,AH2,T2+AI2)</f>
        <v>5318.41766002654</v>
      </c>
      <c r="AX2" s="1" t="n">
        <f aca="false">(-PV(Assumptions!$B$2,C2,S2))-(-PV(Assumptions!$B$2,AH2,S2))</f>
        <v>0</v>
      </c>
      <c r="AY2" s="1" t="n">
        <f aca="false">AJ2+AW2+AX2+(-PV(Assumptions!$B$2,C2,R2))+X2-(W2/POWER(1+Assumptions!$B$2,C2))</f>
        <v>-2447.28291929274</v>
      </c>
      <c r="AZ2" s="1" t="n">
        <f aca="false">AY2+AV2+(AU2/POWER(1+Assumptions!$B$2,C2))</f>
        <v>16952.7506546073</v>
      </c>
      <c r="BA2" s="0" t="n">
        <f aca="false">AQ2/POWER(1+Assumptions!$B$2,AH2)</f>
        <v>19400.0335739001</v>
      </c>
      <c r="BB2" s="1" t="n">
        <f aca="false">AY2+BA2</f>
        <v>16952.7506546074</v>
      </c>
      <c r="BC2" s="1" t="n">
        <f aca="false">AJ2+Assumptions!$B$28/POWER(1+Assumptions!$B$2,AH2)+(-PV(Assumptions!$B$2,AH2,R2+T2+AI2))</f>
        <v>23930.0524604629</v>
      </c>
      <c r="BD2" s="1" t="n">
        <f aca="false">MIN(Z2,AG2,AZ2)</f>
        <v>16952.7506546073</v>
      </c>
      <c r="BE2" s="0" t="str">
        <f aca="false">IF(BD2=Z2,"Cash",IF(BD2=AG2,"Loan","Lease then buy out"))</f>
        <v>Lease then buy out</v>
      </c>
    </row>
    <row r="3" customFormat="false" ht="15" hidden="false" customHeight="false" outlineLevel="0" collapsed="false">
      <c r="A3" s="0" t="s">
        <v>31</v>
      </c>
      <c r="B3" s="0" t="s">
        <v>36</v>
      </c>
      <c r="C3" s="0" t="n">
        <v>3</v>
      </c>
      <c r="D3" s="0" t="n">
        <v>1</v>
      </c>
      <c r="E3" s="0" t="n">
        <v>47187</v>
      </c>
      <c r="F3" s="0" t="n">
        <v>1850</v>
      </c>
      <c r="G3" s="0" t="n">
        <v>319</v>
      </c>
      <c r="H3" s="0" t="n">
        <v>36</v>
      </c>
      <c r="I3" s="0" t="n">
        <v>104</v>
      </c>
      <c r="J3" s="0" t="n">
        <v>12581</v>
      </c>
      <c r="K3" s="0" t="s">
        <v>35</v>
      </c>
      <c r="L3" s="0" t="n">
        <v>163.5</v>
      </c>
      <c r="M3" s="0" t="n">
        <f aca="false">MAX(Assumptions!$B$33,Assumptions!$B$30-Assumptions!$B$31*(H3-36)-IF(D3=1,Assumptions!$B$32,0))</f>
        <v>0.49</v>
      </c>
      <c r="N3" s="0" t="n">
        <f aca="false">E3*M3</f>
        <v>23121.63</v>
      </c>
      <c r="O3" s="0" t="n">
        <f aca="false">1-POWER(J3/E3,0.1)</f>
        <v>0.123828183004646</v>
      </c>
      <c r="P3" s="0" t="n">
        <f aca="false">E3*(1+Assumptions!$B$8)+Assumptions!$B$9</f>
        <v>49946.35</v>
      </c>
      <c r="Q3" s="0" t="n">
        <f aca="false">IF(D3=1,Assumptions!$B$14*33.7,Assumptions!$B$13)</f>
        <v>5.729</v>
      </c>
      <c r="R3" s="0" t="n">
        <f aca="false">(Assumptions!$B$10/I3)*Q3</f>
        <v>550.865384615385</v>
      </c>
      <c r="S3" s="0" t="n">
        <f aca="false">Assumptions!$B$15+Assumptions!$B$17</f>
        <v>1750</v>
      </c>
      <c r="T3" s="0" t="n">
        <f aca="false">Assumptions!$B$15*(1+Assumptions!$B$16)+Assumptions!$B$17</f>
        <v>1942</v>
      </c>
      <c r="U3" s="0" t="n">
        <f aca="false">IF(OR(C3&gt;Assumptions!$B$11,Assumptions!$B$10*C3&gt;Assumptions!$B$12),1,0)</f>
        <v>0</v>
      </c>
      <c r="V3" s="0" t="n">
        <f aca="false">MAX(0.6,1-Assumptions!$B$22*MAX(0,(Assumptions!$B$10-10000)*C3)/10000)</f>
        <v>1</v>
      </c>
      <c r="W3" s="0" t="n">
        <f aca="false">IF(U3=1,Assumptions!$B$23,MAX(Assumptions!$B$23,E3*POWER(1-O3,C3)*V3))</f>
        <v>31738.778298893</v>
      </c>
      <c r="X3" s="0" t="n">
        <f aca="true">SUMPRODUCT((ROW(INDIRECT("1:"&amp;C3))&gt;Assumptions!$B$20)*Assumptions!$B$18*POWER(Assumptions!$B$19,ROW(INDIRECT("1:"&amp;C3))-Assumptions!$B$20-1)*IF(ROW(INDIRECT("1:"&amp;C3))&gt;Assumptions!$B$11,Assumptions!$B$21,1)/POWER(1+Assumptions!$B$2,ROW(INDIRECT("1:"&amp;C3))))</f>
        <v>0</v>
      </c>
      <c r="Y3" s="1" t="n">
        <f aca="false">-PV(Assumptions!$B$2,C3,R3+S3)+X3</f>
        <v>6301.21683567571</v>
      </c>
      <c r="Z3" s="1" t="n">
        <f aca="false">P3+Y3-(W3/POWER(1+Assumptions!$B$2,C3))</f>
        <v>28594.0633635528</v>
      </c>
      <c r="AA3" s="0" t="n">
        <f aca="false">P3*Assumptions!$B$7</f>
        <v>4994.635</v>
      </c>
      <c r="AB3" s="0" t="n">
        <f aca="false">P3-AA3</f>
        <v>44951.715</v>
      </c>
      <c r="AC3" s="1" t="n">
        <f aca="false">PMT(Assumptions!$B$5,Assumptions!$B$6,-AB3)</f>
        <v>889.88576576597</v>
      </c>
      <c r="AD3" s="0" t="n">
        <f aca="false">C3*12</f>
        <v>36</v>
      </c>
      <c r="AE3" s="0" t="n">
        <f aca="false">MIN(Assumptions!$B$6,AD3)</f>
        <v>36</v>
      </c>
      <c r="AF3" s="1" t="n">
        <f aca="false">IF(AD3&gt;=Assumptions!$B$6,0,-PV(Assumptions!$B$5,Assumptions!$B$6-AD3,AC3))</f>
        <v>19877.699581147</v>
      </c>
      <c r="AG3" s="1" t="n">
        <f aca="false">AA3+(-PV(Assumptions!$B$3,AE3,AC3))+Y3-((W3-AF3)/POWER(1+Assumptions!$B$2,C3))</f>
        <v>30786.9962619328</v>
      </c>
      <c r="AH3" s="0" t="n">
        <f aca="false">H3/12</f>
        <v>3</v>
      </c>
      <c r="AI3" s="0" t="n">
        <f aca="false">MAX(0,Assumptions!$B$10-Assumptions!$B$24)*Assumptions!$B$25</f>
        <v>0</v>
      </c>
      <c r="AJ3" s="1" t="n">
        <f aca="false">F3+Assumptions!$B$27+(-PV(Assumptions!$B$3,H3-1,G3))</f>
        <v>12964.5177229546</v>
      </c>
      <c r="AK3" s="0" t="n">
        <f aca="false">CEILING(C3/AH3,1)</f>
        <v>1</v>
      </c>
      <c r="AL3" s="0" t="n">
        <f aca="false">(1+Assumptions!$B$26)/POWER(1+Assumptions!$B$2,AH3)</f>
        <v>0.906135810905202</v>
      </c>
      <c r="AM3" s="0" t="n">
        <f aca="false">IF(ABS(1-AL3)&lt;0.000000000001,AK3,(1-POWER(AL3,AK3))/(1-AL3))</f>
        <v>1</v>
      </c>
      <c r="AN3" s="0" t="n">
        <f aca="false">1/POWER(1+Assumptions!$B$2,AH3)</f>
        <v>0.871284433562695</v>
      </c>
      <c r="AO3" s="0" t="n">
        <f aca="false">IF(ABS(1-AN3)&lt;0.000000000001,AK3,AN3*(1-POWER(AN3,AK3))/(1-AN3))</f>
        <v>0.871284433562695</v>
      </c>
      <c r="AP3" s="1" t="n">
        <f aca="false">AJ3*AM3+Assumptions!$B$28*AO3+(-PV(Assumptions!$B$2,C3,R3+T3+AI3))</f>
        <v>20140.0651140971</v>
      </c>
      <c r="AQ3" s="0" t="n">
        <f aca="false">N3*(1+Assumptions!$B$8)</f>
        <v>24277.7115</v>
      </c>
      <c r="AR3" s="1" t="n">
        <f aca="false">PMT(Assumptions!$B$5,Assumptions!$B$29,-AQ3)</f>
        <v>749.5142531321</v>
      </c>
      <c r="AS3" s="0" t="n">
        <f aca="false">MAX(0,AD3-H3)</f>
        <v>0</v>
      </c>
      <c r="AT3" s="0" t="n">
        <f aca="false">MIN(Assumptions!$B$29,AS3)</f>
        <v>0</v>
      </c>
      <c r="AU3" s="1" t="n">
        <f aca="false">IF(AS3&gt;=Assumptions!$B$29,0,-PV(Assumptions!$B$5,Assumptions!$B$29-AS3,AR3))</f>
        <v>24277.7114999999</v>
      </c>
      <c r="AV3" s="1" t="n">
        <f aca="false">(-PV(Assumptions!$B$3,AT3,AR3))/POWER(1+Assumptions!$B$2,AH3)</f>
        <v>0</v>
      </c>
      <c r="AW3" s="1" t="n">
        <f aca="false">-PV(Assumptions!$B$2,AH3,T3+AI3)</f>
        <v>5318.41766002654</v>
      </c>
      <c r="AX3" s="1" t="n">
        <f aca="false">(-PV(Assumptions!$B$2,C3,S3))-(-PV(Assumptions!$B$2,AH3,S3))</f>
        <v>0</v>
      </c>
      <c r="AY3" s="1" t="n">
        <f aca="false">AJ3+AW3+AX3+(-PV(Assumptions!$B$2,C3,R3))+X3-(W3/POWER(1+Assumptions!$B$2,C3))</f>
        <v>-7861.95213145089</v>
      </c>
      <c r="AZ3" s="1" t="n">
        <f aca="false">AY3+AV3+(AU3/POWER(1+Assumptions!$B$2,C3))</f>
        <v>13290.839981025</v>
      </c>
      <c r="BA3" s="0" t="n">
        <f aca="false">AQ3/POWER(1+Assumptions!$B$2,AH3)</f>
        <v>21152.792112476</v>
      </c>
      <c r="BB3" s="1" t="n">
        <f aca="false">AY3+BA3</f>
        <v>13290.8399810251</v>
      </c>
      <c r="BC3" s="1" t="n">
        <f aca="false">AJ3+Assumptions!$B$28/POWER(1+Assumptions!$B$2,AH3)+(-PV(Assumptions!$B$2,AH3,R3+T3+AI3))</f>
        <v>20140.0651140971</v>
      </c>
      <c r="BD3" s="1" t="n">
        <f aca="false">MIN(Z3,AG3,AZ3)</f>
        <v>13290.839981025</v>
      </c>
      <c r="BE3" s="0" t="str">
        <f aca="false">IF(BD3=Z3,"Cash",IF(BD3=AG3,"Loan","Lease then buy out"))</f>
        <v>Lease then buy out</v>
      </c>
    </row>
    <row r="4" customFormat="false" ht="15" hidden="false" customHeight="false" outlineLevel="0" collapsed="false">
      <c r="A4" s="0" t="s">
        <v>37</v>
      </c>
      <c r="B4" s="0" t="s">
        <v>38</v>
      </c>
      <c r="C4" s="0" t="n">
        <v>3</v>
      </c>
      <c r="D4" s="0" t="n">
        <v>1</v>
      </c>
      <c r="E4" s="0" t="n">
        <v>49130</v>
      </c>
      <c r="F4" s="0" t="n">
        <v>7932</v>
      </c>
      <c r="G4" s="0" t="n">
        <v>356</v>
      </c>
      <c r="H4" s="0" t="n">
        <v>36</v>
      </c>
      <c r="I4" s="0" t="n">
        <v>128</v>
      </c>
      <c r="J4" s="0" t="n">
        <v>10841</v>
      </c>
      <c r="K4" s="0" t="s">
        <v>35</v>
      </c>
      <c r="L4" s="0" t="n">
        <v>127</v>
      </c>
      <c r="M4" s="0" t="n">
        <f aca="false">MAX(Assumptions!$B$33,Assumptions!$B$30-Assumptions!$B$31*(H4-36)-IF(D4=1,Assumptions!$B$32,0))</f>
        <v>0.49</v>
      </c>
      <c r="N4" s="0" t="n">
        <f aca="false">E4*M4</f>
        <v>24073.7</v>
      </c>
      <c r="O4" s="0" t="n">
        <f aca="false">1-POWER(J4/E4,0.1)</f>
        <v>0.140249854427443</v>
      </c>
      <c r="P4" s="0" t="n">
        <f aca="false">E4*(1+Assumptions!$B$8)+Assumptions!$B$9</f>
        <v>51986.5</v>
      </c>
      <c r="Q4" s="0" t="n">
        <f aca="false">IF(D4=1,Assumptions!$B$14*33.7,Assumptions!$B$13)</f>
        <v>5.729</v>
      </c>
      <c r="R4" s="0" t="n">
        <f aca="false">(Assumptions!$B$10/I4)*Q4</f>
        <v>447.578125</v>
      </c>
      <c r="S4" s="0" t="n">
        <f aca="false">Assumptions!$B$15+Assumptions!$B$17</f>
        <v>1750</v>
      </c>
      <c r="T4" s="0" t="n">
        <f aca="false">Assumptions!$B$15*(1+Assumptions!$B$16)+Assumptions!$B$17</f>
        <v>1942</v>
      </c>
      <c r="U4" s="0" t="n">
        <f aca="false">IF(OR(C4&gt;Assumptions!$B$11,Assumptions!$B$10*C4&gt;Assumptions!$B$12),1,0)</f>
        <v>0</v>
      </c>
      <c r="V4" s="0" t="n">
        <f aca="false">MAX(0.6,1-Assumptions!$B$22*MAX(0,(Assumptions!$B$10-10000)*C4)/10000)</f>
        <v>1</v>
      </c>
      <c r="W4" s="0" t="n">
        <f aca="false">IF(U4=1,Assumptions!$B$23,MAX(Assumptions!$B$23,E4*POWER(1-O4,C4)*V4))</f>
        <v>31222.2026500354</v>
      </c>
      <c r="X4" s="0" t="n">
        <f aca="true">SUMPRODUCT((ROW(INDIRECT("1:"&amp;C4))&gt;Assumptions!$B$20)*Assumptions!$B$18*POWER(Assumptions!$B$19,ROW(INDIRECT("1:"&amp;C4))-Assumptions!$B$20-1)*IF(ROW(INDIRECT("1:"&amp;C4))&gt;Assumptions!$B$11,Assumptions!$B$21,1)/POWER(1+Assumptions!$B$2,ROW(INDIRECT("1:"&amp;C4))))</f>
        <v>0</v>
      </c>
      <c r="Y4" s="1" t="n">
        <f aca="false">-PV(Assumptions!$B$2,C4,R4+S4)+X4</f>
        <v>6018.35134360866</v>
      </c>
      <c r="Z4" s="1" t="n">
        <f aca="false">P4+Y4-(W4/POWER(1+Assumptions!$B$2,C4))</f>
        <v>30801.4321930929</v>
      </c>
      <c r="AA4" s="0" t="n">
        <f aca="false">P4*Assumptions!$B$7</f>
        <v>5198.65</v>
      </c>
      <c r="AB4" s="0" t="n">
        <f aca="false">P4-AA4</f>
        <v>46787.85</v>
      </c>
      <c r="AC4" s="1" t="n">
        <f aca="false">PMT(Assumptions!$B$5,Assumptions!$B$6,-AB4)</f>
        <v>926.23477715574</v>
      </c>
      <c r="AD4" s="0" t="n">
        <f aca="false">C4*12</f>
        <v>36</v>
      </c>
      <c r="AE4" s="0" t="n">
        <f aca="false">MIN(Assumptions!$B$6,AD4)</f>
        <v>36</v>
      </c>
      <c r="AF4" s="1" t="n">
        <f aca="false">IF(AD4&gt;=Assumptions!$B$6,0,-PV(Assumptions!$B$5,Assumptions!$B$6-AD4,AC4))</f>
        <v>20689.6405698374</v>
      </c>
      <c r="AG4" s="1" t="n">
        <f aca="false">AA4+(-PV(Assumptions!$B$3,AE4,AC4))+Y4-((W4-AF4)/POWER(1+Assumptions!$B$2,C4))</f>
        <v>33083.9394458078</v>
      </c>
      <c r="AH4" s="0" t="n">
        <f aca="false">H4/12</f>
        <v>3</v>
      </c>
      <c r="AI4" s="0" t="n">
        <f aca="false">MAX(0,Assumptions!$B$10-Assumptions!$B$24)*Assumptions!$B$25</f>
        <v>0</v>
      </c>
      <c r="AJ4" s="1" t="n">
        <f aca="false">F4+Assumptions!$B$27+(-PV(Assumptions!$B$3,H4-1,G4))</f>
        <v>20254.4711892534</v>
      </c>
      <c r="AK4" s="0" t="n">
        <f aca="false">CEILING(C4/AH4,1)</f>
        <v>1</v>
      </c>
      <c r="AL4" s="0" t="n">
        <f aca="false">(1+Assumptions!$B$26)/POWER(1+Assumptions!$B$2,AH4)</f>
        <v>0.906135810905202</v>
      </c>
      <c r="AM4" s="0" t="n">
        <f aca="false">IF(ABS(1-AL4)&lt;0.000000000001,AK4,(1-POWER(AL4,AK4))/(1-AL4))</f>
        <v>1</v>
      </c>
      <c r="AN4" s="0" t="n">
        <f aca="false">1/POWER(1+Assumptions!$B$2,AH4)</f>
        <v>0.871284433562695</v>
      </c>
      <c r="AO4" s="0" t="n">
        <f aca="false">IF(ABS(1-AN4)&lt;0.000000000001,AK4,AN4*(1-POWER(AN4,AK4))/(1-AN4))</f>
        <v>0.871284433562695</v>
      </c>
      <c r="AP4" s="1" t="n">
        <f aca="false">AJ4*AM4+Assumptions!$B$28*AO4+(-PV(Assumptions!$B$2,C4,R4+T4+AI4))</f>
        <v>27147.1530883289</v>
      </c>
      <c r="AQ4" s="0" t="n">
        <f aca="false">N4*(1+Assumptions!$B$8)</f>
        <v>25277.385</v>
      </c>
      <c r="AR4" s="1" t="n">
        <f aca="false">PMT(Assumptions!$B$5,Assumptions!$B$29,-AQ4)</f>
        <v>780.376698166445</v>
      </c>
      <c r="AS4" s="0" t="n">
        <f aca="false">MAX(0,AD4-H4)</f>
        <v>0</v>
      </c>
      <c r="AT4" s="0" t="n">
        <f aca="false">MIN(Assumptions!$B$29,AS4)</f>
        <v>0</v>
      </c>
      <c r="AU4" s="1" t="n">
        <f aca="false">IF(AS4&gt;=Assumptions!$B$29,0,-PV(Assumptions!$B$5,Assumptions!$B$29-AS4,AR4))</f>
        <v>25277.3849999999</v>
      </c>
      <c r="AV4" s="1" t="n">
        <f aca="false">(-PV(Assumptions!$B$3,AT4,AR4))/POWER(1+Assumptions!$B$2,AH4)</f>
        <v>0</v>
      </c>
      <c r="AW4" s="1" t="n">
        <f aca="false">-PV(Assumptions!$B$2,AH4,T4+AI4)</f>
        <v>5318.41766002654</v>
      </c>
      <c r="AX4" s="1" t="n">
        <f aca="false">(-PV(Assumptions!$B$2,C4,S4))-(-PV(Assumptions!$B$2,AH4,S4))</f>
        <v>0</v>
      </c>
      <c r="AY4" s="1" t="n">
        <f aca="false">AJ4+AW4+AX4+(-PV(Assumptions!$B$2,C4,R4))+X4-(W4/POWER(1+Assumptions!$B$2,C4))</f>
        <v>-404.779835611935</v>
      </c>
      <c r="AZ4" s="1" t="n">
        <f aca="false">AY4+AV4+(AU4/POWER(1+Assumptions!$B$2,C4))</f>
        <v>21619.0122360591</v>
      </c>
      <c r="BA4" s="0" t="n">
        <f aca="false">AQ4/POWER(1+Assumptions!$B$2,AH4)</f>
        <v>22023.7920716712</v>
      </c>
      <c r="BB4" s="1" t="n">
        <f aca="false">AY4+BA4</f>
        <v>21619.0122360592</v>
      </c>
      <c r="BC4" s="1" t="n">
        <f aca="false">AJ4+Assumptions!$B$28/POWER(1+Assumptions!$B$2,AH4)+(-PV(Assumptions!$B$2,AH4,R4+T4+AI4))</f>
        <v>27147.1530883289</v>
      </c>
      <c r="BD4" s="1" t="n">
        <f aca="false">MIN(Z4,AG4,AZ4)</f>
        <v>21619.0122360591</v>
      </c>
      <c r="BE4" s="0" t="str">
        <f aca="false">IF(BD4=Z4,"Cash",IF(BD4=AG4,"Loan","Lease then buy out"))</f>
        <v>Lease then buy out</v>
      </c>
    </row>
    <row r="5" customFormat="false" ht="15" hidden="false" customHeight="false" outlineLevel="0" collapsed="false">
      <c r="A5" s="0" t="s">
        <v>37</v>
      </c>
      <c r="B5" s="0" t="s">
        <v>39</v>
      </c>
      <c r="C5" s="0" t="n">
        <v>3</v>
      </c>
      <c r="D5" s="0" t="n">
        <v>1</v>
      </c>
      <c r="E5" s="0" t="n">
        <v>50990</v>
      </c>
      <c r="F5" s="0" t="n">
        <v>4158</v>
      </c>
      <c r="G5" s="0" t="n">
        <v>464</v>
      </c>
      <c r="H5" s="0" t="n">
        <v>36</v>
      </c>
      <c r="I5" s="0" t="n">
        <v>110</v>
      </c>
      <c r="J5" s="0" t="n">
        <v>15876</v>
      </c>
      <c r="K5" s="0" t="s">
        <v>35</v>
      </c>
      <c r="L5" s="0" t="n">
        <v>173.2</v>
      </c>
      <c r="M5" s="0" t="n">
        <f aca="false">MAX(Assumptions!$B$33,Assumptions!$B$30-Assumptions!$B$31*(H5-36)-IF(D5=1,Assumptions!$B$32,0))</f>
        <v>0.49</v>
      </c>
      <c r="N5" s="0" t="n">
        <f aca="false">E5*M5</f>
        <v>24985.1</v>
      </c>
      <c r="O5" s="0" t="n">
        <f aca="false">1-POWER(J5/E5,0.1)</f>
        <v>0.11013196276101</v>
      </c>
      <c r="P5" s="0" t="n">
        <f aca="false">E5*(1+Assumptions!$B$8)+Assumptions!$B$9</f>
        <v>53939.5</v>
      </c>
      <c r="Q5" s="0" t="n">
        <f aca="false">IF(D5=1,Assumptions!$B$14*33.7,Assumptions!$B$13)</f>
        <v>5.729</v>
      </c>
      <c r="R5" s="0" t="n">
        <f aca="false">(Assumptions!$B$10/I5)*Q5</f>
        <v>520.818181818182</v>
      </c>
      <c r="S5" s="0" t="n">
        <f aca="false">Assumptions!$B$15+Assumptions!$B$17</f>
        <v>1750</v>
      </c>
      <c r="T5" s="0" t="n">
        <f aca="false">Assumptions!$B$15*(1+Assumptions!$B$16)+Assumptions!$B$17</f>
        <v>1942</v>
      </c>
      <c r="U5" s="0" t="n">
        <f aca="false">IF(OR(C5&gt;Assumptions!$B$11,Assumptions!$B$10*C5&gt;Assumptions!$B$12),1,0)</f>
        <v>0</v>
      </c>
      <c r="V5" s="0" t="n">
        <f aca="false">MAX(0.6,1-Assumptions!$B$22*MAX(0,(Assumptions!$B$10-10000)*C5)/10000)</f>
        <v>1</v>
      </c>
      <c r="W5" s="0" t="n">
        <f aca="false">IF(U5=1,Assumptions!$B$23,MAX(Assumptions!$B$23,E5*POWER(1-O5,C5)*V5))</f>
        <v>35930.3820779781</v>
      </c>
      <c r="X5" s="0" t="n">
        <f aca="true">SUMPRODUCT((ROW(INDIRECT("1:"&amp;C5))&gt;Assumptions!$B$20)*Assumptions!$B$18*POWER(Assumptions!$B$19,ROW(INDIRECT("1:"&amp;C5))-Assumptions!$B$20-1)*IF(ROW(INDIRECT("1:"&amp;C5))&gt;Assumptions!$B$11,Assumptions!$B$21,1)/POWER(1+Assumptions!$B$2,ROW(INDIRECT("1:"&amp;C5))))</f>
        <v>0</v>
      </c>
      <c r="Y5" s="1" t="n">
        <f aca="false">-PV(Assumptions!$B$2,C5,R5+S5)+X5</f>
        <v>6218.92869252893</v>
      </c>
      <c r="Z5" s="1" t="n">
        <f aca="false">P5+Y5-(W5/POWER(1+Assumptions!$B$2,C5))</f>
        <v>28852.8460960266</v>
      </c>
      <c r="AA5" s="0" t="n">
        <f aca="false">P5*Assumptions!$B$7</f>
        <v>5393.95</v>
      </c>
      <c r="AB5" s="0" t="n">
        <f aca="false">P5-AA5</f>
        <v>48545.55</v>
      </c>
      <c r="AC5" s="1" t="n">
        <f aca="false">PMT(Assumptions!$B$5,Assumptions!$B$6,-AB5)</f>
        <v>961.031051569004</v>
      </c>
      <c r="AD5" s="0" t="n">
        <f aca="false">C5*12</f>
        <v>36</v>
      </c>
      <c r="AE5" s="0" t="n">
        <f aca="false">MIN(Assumptions!$B$6,AD5)</f>
        <v>36</v>
      </c>
      <c r="AF5" s="1" t="n">
        <f aca="false">IF(AD5&gt;=Assumptions!$B$6,0,-PV(Assumptions!$B$5,Assumptions!$B$6-AD5,AC5))</f>
        <v>21466.8975121761</v>
      </c>
      <c r="AG5" s="1" t="n">
        <f aca="false">AA5+(-PV(Assumptions!$B$3,AE5,AC5))+Y5-((W5-AF5)/POWER(1+Assumptions!$B$2,C5))</f>
        <v>31221.1013153203</v>
      </c>
      <c r="AH5" s="0" t="n">
        <f aca="false">H5/12</f>
        <v>3</v>
      </c>
      <c r="AI5" s="0" t="n">
        <f aca="false">MAX(0,Assumptions!$B$10-Assumptions!$B$24)*Assumptions!$B$25</f>
        <v>0</v>
      </c>
      <c r="AJ5" s="1" t="n">
        <f aca="false">F5+Assumptions!$B$27+(-PV(Assumptions!$B$3,H5-1,G5))</f>
        <v>20006.3894152067</v>
      </c>
      <c r="AK5" s="0" t="n">
        <f aca="false">CEILING(C5/AH5,1)</f>
        <v>1</v>
      </c>
      <c r="AL5" s="0" t="n">
        <f aca="false">(1+Assumptions!$B$26)/POWER(1+Assumptions!$B$2,AH5)</f>
        <v>0.906135810905202</v>
      </c>
      <c r="AM5" s="0" t="n">
        <f aca="false">IF(ABS(1-AL5)&lt;0.000000000001,AK5,(1-POWER(AL5,AK5))/(1-AL5))</f>
        <v>1</v>
      </c>
      <c r="AN5" s="0" t="n">
        <f aca="false">1/POWER(1+Assumptions!$B$2,AH5)</f>
        <v>0.871284433562695</v>
      </c>
      <c r="AO5" s="0" t="n">
        <f aca="false">IF(ABS(1-AN5)&lt;0.000000000001,AK5,AN5*(1-POWER(AN5,AK5))/(1-AN5))</f>
        <v>0.871284433562695</v>
      </c>
      <c r="AP5" s="1" t="n">
        <f aca="false">AJ5*AM5+Assumptions!$B$28*AO5+(-PV(Assumptions!$B$2,C5,R5+T5+AI5))</f>
        <v>27099.6486632024</v>
      </c>
      <c r="AQ5" s="0" t="n">
        <f aca="false">N5*(1+Assumptions!$B$8)</f>
        <v>26234.355</v>
      </c>
      <c r="AR5" s="1" t="n">
        <f aca="false">PMT(Assumptions!$B$5,Assumptions!$B$29,-AQ5)</f>
        <v>809.920778333137</v>
      </c>
      <c r="AS5" s="0" t="n">
        <f aca="false">MAX(0,AD5-H5)</f>
        <v>0</v>
      </c>
      <c r="AT5" s="0" t="n">
        <f aca="false">MIN(Assumptions!$B$29,AS5)</f>
        <v>0</v>
      </c>
      <c r="AU5" s="1" t="n">
        <f aca="false">IF(AS5&gt;=Assumptions!$B$29,0,-PV(Assumptions!$B$5,Assumptions!$B$29-AS5,AR5))</f>
        <v>26234.3549999999</v>
      </c>
      <c r="AV5" s="1" t="n">
        <f aca="false">(-PV(Assumptions!$B$3,AT5,AR5))/POWER(1+Assumptions!$B$2,AH5)</f>
        <v>0</v>
      </c>
      <c r="AW5" s="1" t="n">
        <f aca="false">-PV(Assumptions!$B$2,AH5,T5+AI5)</f>
        <v>5318.41766002654</v>
      </c>
      <c r="AX5" s="1" t="n">
        <f aca="false">(-PV(Assumptions!$B$2,C5,S5))-(-PV(Assumptions!$B$2,AH5,S5))</f>
        <v>0</v>
      </c>
      <c r="AY5" s="1" t="n">
        <f aca="false">AJ5+AW5+AX5+(-PV(Assumptions!$B$2,C5,R5))+X5-(W5/POWER(1+Assumptions!$B$2,C5))</f>
        <v>-4554.44770672498</v>
      </c>
      <c r="AZ5" s="1" t="n">
        <f aca="false">AY5+AV5+(AU5/POWER(1+Assumptions!$B$2,C5))</f>
        <v>18303.1374293325</v>
      </c>
      <c r="BA5" s="0" t="n">
        <f aca="false">AQ5/POWER(1+Assumptions!$B$2,AH5)</f>
        <v>22857.5851360576</v>
      </c>
      <c r="BB5" s="1" t="n">
        <f aca="false">AY5+BA5</f>
        <v>18303.1374293327</v>
      </c>
      <c r="BC5" s="1" t="n">
        <f aca="false">AJ5+Assumptions!$B$28/POWER(1+Assumptions!$B$2,AH5)+(-PV(Assumptions!$B$2,AH5,R5+T5+AI5))</f>
        <v>27099.6486632024</v>
      </c>
      <c r="BD5" s="1" t="n">
        <f aca="false">MIN(Z5,AG5,AZ5)</f>
        <v>18303.1374293325</v>
      </c>
      <c r="BE5" s="0" t="str">
        <f aca="false">IF(BD5=Z5,"Cash",IF(BD5=AG5,"Loan","Lease then buy out"))</f>
        <v>Lease then buy out</v>
      </c>
    </row>
    <row r="6" customFormat="false" ht="15" hidden="false" customHeight="false" outlineLevel="0" collapsed="false">
      <c r="A6" s="0" t="s">
        <v>41</v>
      </c>
      <c r="B6" s="0" t="s">
        <v>42</v>
      </c>
      <c r="C6" s="0" t="n">
        <v>3</v>
      </c>
      <c r="D6" s="0" t="n">
        <v>1</v>
      </c>
      <c r="E6" s="0" t="n">
        <v>41400</v>
      </c>
      <c r="F6" s="0" t="n">
        <v>1500</v>
      </c>
      <c r="G6" s="0" t="n">
        <v>561.11</v>
      </c>
      <c r="H6" s="0" t="n">
        <v>36</v>
      </c>
      <c r="I6" s="0" t="n">
        <v>94</v>
      </c>
      <c r="J6" s="0" t="n">
        <v>9644</v>
      </c>
      <c r="K6" s="0" t="s">
        <v>35</v>
      </c>
      <c r="L6" s="0" t="n">
        <v>132.8</v>
      </c>
      <c r="M6" s="0" t="n">
        <f aca="false">MAX(Assumptions!$B$33,Assumptions!$B$30-Assumptions!$B$31*(H6-36)-IF(D6=1,Assumptions!$B$32,0))</f>
        <v>0.49</v>
      </c>
      <c r="N6" s="0" t="n">
        <f aca="false">E6*M6</f>
        <v>20286</v>
      </c>
      <c r="O6" s="0" t="n">
        <f aca="false">1-POWER(J6/E6,0.1)</f>
        <v>0.135578249435814</v>
      </c>
      <c r="P6" s="0" t="n">
        <f aca="false">E6*(1+Assumptions!$B$8)+Assumptions!$B$9</f>
        <v>43870</v>
      </c>
      <c r="Q6" s="0" t="n">
        <f aca="false">IF(D6=1,Assumptions!$B$14*33.7,Assumptions!$B$13)</f>
        <v>5.729</v>
      </c>
      <c r="R6" s="0" t="n">
        <f aca="false">(Assumptions!$B$10/I6)*Q6</f>
        <v>609.468085106383</v>
      </c>
      <c r="S6" s="0" t="n">
        <f aca="false">Assumptions!$B$15+Assumptions!$B$17</f>
        <v>1750</v>
      </c>
      <c r="T6" s="0" t="n">
        <f aca="false">Assumptions!$B$15*(1+Assumptions!$B$16)+Assumptions!$B$17</f>
        <v>1942</v>
      </c>
      <c r="U6" s="0" t="n">
        <f aca="false">IF(OR(C6&gt;Assumptions!$B$11,Assumptions!$B$10*C6&gt;Assumptions!$B$12),1,0)</f>
        <v>0</v>
      </c>
      <c r="V6" s="0" t="n">
        <f aca="false">MAX(0.6,1-Assumptions!$B$22*MAX(0,(Assumptions!$B$10-10000)*C6)/10000)</f>
        <v>1</v>
      </c>
      <c r="W6" s="0" t="n">
        <f aca="false">IF(U6=1,Assumptions!$B$23,MAX(Assumptions!$B$23,E6*POWER(1-O6,C6)*V6))</f>
        <v>26740.9849326597</v>
      </c>
      <c r="X6" s="0" t="n">
        <f aca="true">SUMPRODUCT((ROW(INDIRECT("1:"&amp;C6))&gt;Assumptions!$B$20)*Assumptions!$B$18*POWER(Assumptions!$B$19,ROW(INDIRECT("1:"&amp;C6))-Assumptions!$B$20-1)*IF(ROW(INDIRECT("1:"&amp;C6))&gt;Assumptions!$B$11,Assumptions!$B$21,1)/POWER(1+Assumptions!$B$2,ROW(INDIRECT("1:"&amp;C6))))</f>
        <v>0</v>
      </c>
      <c r="Y6" s="1" t="n">
        <f aca="false">-PV(Assumptions!$B$2,C6,R6+S6)+X6</f>
        <v>6461.70789500453</v>
      </c>
      <c r="Z6" s="1" t="n">
        <f aca="false">P6+Y6-(W6/POWER(1+Assumptions!$B$2,C6))</f>
        <v>27032.7039850436</v>
      </c>
      <c r="AA6" s="0" t="n">
        <f aca="false">P6*Assumptions!$B$7</f>
        <v>4387</v>
      </c>
      <c r="AB6" s="0" t="n">
        <f aca="false">P6-AA6</f>
        <v>39483</v>
      </c>
      <c r="AC6" s="1" t="n">
        <f aca="false">PMT(Assumptions!$B$5,Assumptions!$B$6,-AB6)</f>
        <v>781.62445392212</v>
      </c>
      <c r="AD6" s="0" t="n">
        <f aca="false">C6*12</f>
        <v>36</v>
      </c>
      <c r="AE6" s="0" t="n">
        <f aca="false">MIN(Assumptions!$B$6,AD6)</f>
        <v>36</v>
      </c>
      <c r="AF6" s="1" t="n">
        <f aca="false">IF(AD6&gt;=Assumptions!$B$6,0,-PV(Assumptions!$B$5,Assumptions!$B$6-AD6,AC6))</f>
        <v>17459.4275782899</v>
      </c>
      <c r="AG6" s="1" t="n">
        <f aca="false">AA6+(-PV(Assumptions!$B$3,AE6,AC6))+Y6-((W6-AF6)/POWER(1+Assumptions!$B$2,C6))</f>
        <v>28958.8500648259</v>
      </c>
      <c r="AH6" s="0" t="n">
        <f aca="false">H6/12</f>
        <v>3</v>
      </c>
      <c r="AI6" s="0" t="n">
        <f aca="false">MAX(0,Assumptions!$B$10-Assumptions!$B$24)*Assumptions!$B$25</f>
        <v>0</v>
      </c>
      <c r="AJ6" s="1" t="n">
        <f aca="false">F6+Assumptions!$B$27+(-PV(Assumptions!$B$3,H6-1,G6))</f>
        <v>20518.7775533763</v>
      </c>
      <c r="AK6" s="0" t="n">
        <f aca="false">CEILING(C6/AH6,1)</f>
        <v>1</v>
      </c>
      <c r="AL6" s="0" t="n">
        <f aca="false">(1+Assumptions!$B$26)/POWER(1+Assumptions!$B$2,AH6)</f>
        <v>0.906135810905202</v>
      </c>
      <c r="AM6" s="0" t="n">
        <f aca="false">IF(ABS(1-AL6)&lt;0.000000000001,AK6,(1-POWER(AL6,AK6))/(1-AL6))</f>
        <v>1</v>
      </c>
      <c r="AN6" s="0" t="n">
        <f aca="false">1/POWER(1+Assumptions!$B$2,AH6)</f>
        <v>0.871284433562695</v>
      </c>
      <c r="AO6" s="0" t="n">
        <f aca="false">IF(ABS(1-AN6)&lt;0.000000000001,AK6,AN6*(1-POWER(AN6,AK6))/(1-AN6))</f>
        <v>0.871284433562695</v>
      </c>
      <c r="AP6" s="1" t="n">
        <f aca="false">AJ6*AM6+Assumptions!$B$28*AO6+(-PV(Assumptions!$B$2,C6,R6+T6+AI6))</f>
        <v>27854.8160038477</v>
      </c>
      <c r="AQ6" s="0" t="n">
        <f aca="false">N6*(1+Assumptions!$B$8)</f>
        <v>21300.3</v>
      </c>
      <c r="AR6" s="1" t="n">
        <f aca="false">PMT(Assumptions!$B$5,Assumptions!$B$29,-AQ6)</f>
        <v>657.594042419923</v>
      </c>
      <c r="AS6" s="0" t="n">
        <f aca="false">MAX(0,AD6-H6)</f>
        <v>0</v>
      </c>
      <c r="AT6" s="0" t="n">
        <f aca="false">MIN(Assumptions!$B$29,AS6)</f>
        <v>0</v>
      </c>
      <c r="AU6" s="1" t="n">
        <f aca="false">IF(AS6&gt;=Assumptions!$B$29,0,-PV(Assumptions!$B$5,Assumptions!$B$29-AS6,AR6))</f>
        <v>21300.2999999999</v>
      </c>
      <c r="AV6" s="1" t="n">
        <f aca="false">(-PV(Assumptions!$B$3,AT6,AR6))/POWER(1+Assumptions!$B$2,AH6)</f>
        <v>0</v>
      </c>
      <c r="AW6" s="1" t="n">
        <f aca="false">-PV(Assumptions!$B$2,AH6,T6+AI6)</f>
        <v>5318.41766002654</v>
      </c>
      <c r="AX6" s="1" t="n">
        <f aca="false">(-PV(Assumptions!$B$2,C6,S6))-(-PV(Assumptions!$B$2,AH6,S6))</f>
        <v>0</v>
      </c>
      <c r="AY6" s="1" t="n">
        <f aca="false">AJ6+AW6+AX6+(-PV(Assumptions!$B$2,C6,R6))+X6-(W6/POWER(1+Assumptions!$B$2,C6))</f>
        <v>4207.2983204617</v>
      </c>
      <c r="AZ6" s="1" t="n">
        <f aca="false">AY6+AV6+(AU6/POWER(1+Assumptions!$B$2,C6))</f>
        <v>22765.9181406771</v>
      </c>
      <c r="BA6" s="0" t="n">
        <f aca="false">AQ6/POWER(1+Assumptions!$B$2,AH6)</f>
        <v>18558.6198202155</v>
      </c>
      <c r="BB6" s="1" t="n">
        <f aca="false">AY6+BA6</f>
        <v>22765.9181406772</v>
      </c>
      <c r="BC6" s="1" t="n">
        <f aca="false">AJ6+Assumptions!$B$28/POWER(1+Assumptions!$B$2,AH6)+(-PV(Assumptions!$B$2,AH6,R6+T6+AI6))</f>
        <v>27854.8160038477</v>
      </c>
      <c r="BD6" s="1" t="n">
        <f aca="false">MIN(Z6,AG6,AZ6)</f>
        <v>22765.9181406771</v>
      </c>
      <c r="BE6" s="0" t="str">
        <f aca="false">IF(BD6=Z6,"Cash",IF(BD6=AG6,"Loan","Lease then buy out"))</f>
        <v>Lease then buy out</v>
      </c>
    </row>
    <row r="7" customFormat="false" ht="15" hidden="false" customHeight="false" outlineLevel="0" collapsed="false">
      <c r="A7" s="0" t="s">
        <v>43</v>
      </c>
      <c r="B7" s="0" t="s">
        <v>44</v>
      </c>
      <c r="C7" s="0" t="n">
        <v>3</v>
      </c>
      <c r="D7" s="0" t="n">
        <v>0</v>
      </c>
      <c r="E7" s="0" t="n">
        <v>23945</v>
      </c>
      <c r="F7" s="0" t="n">
        <v>2787</v>
      </c>
      <c r="G7" s="0" t="n">
        <v>234</v>
      </c>
      <c r="H7" s="0" t="n">
        <v>36</v>
      </c>
      <c r="I7" s="0" t="n">
        <v>34</v>
      </c>
      <c r="J7" s="0" t="n">
        <v>7980</v>
      </c>
      <c r="K7" s="0" t="s">
        <v>35</v>
      </c>
      <c r="L7" s="0" t="n">
        <v>149.8</v>
      </c>
      <c r="M7" s="0" t="n">
        <f aca="false">MAX(Assumptions!$B$33,Assumptions!$B$30-Assumptions!$B$31*(H7-36)-IF(D7=1,Assumptions!$B$32,0))</f>
        <v>0.57</v>
      </c>
      <c r="N7" s="0" t="n">
        <f aca="false">E7*M7</f>
        <v>13648.65</v>
      </c>
      <c r="O7" s="0" t="n">
        <f aca="false">1-POWER(J7/E7,0.1)</f>
        <v>0.104060250592732</v>
      </c>
      <c r="P7" s="0" t="n">
        <f aca="false">E7*(1+Assumptions!$B$8)+Assumptions!$B$9</f>
        <v>25542.25</v>
      </c>
      <c r="Q7" s="0" t="n">
        <f aca="false">IF(D7=1,Assumptions!$B$14*33.7,Assumptions!$B$13)</f>
        <v>3.1</v>
      </c>
      <c r="R7" s="0" t="n">
        <f aca="false">(Assumptions!$B$10/I7)*Q7</f>
        <v>911.764705882353</v>
      </c>
      <c r="S7" s="0" t="n">
        <f aca="false">Assumptions!$B$15+Assumptions!$B$17</f>
        <v>1750</v>
      </c>
      <c r="T7" s="0" t="n">
        <f aca="false">Assumptions!$B$15*(1+Assumptions!$B$16)+Assumptions!$B$17</f>
        <v>1942</v>
      </c>
      <c r="U7" s="0" t="n">
        <f aca="false">IF(OR(C7&gt;Assumptions!$B$11,Assumptions!$B$10*C7&gt;Assumptions!$B$12),1,0)</f>
        <v>0</v>
      </c>
      <c r="V7" s="0" t="n">
        <f aca="false">MAX(0.6,1-Assumptions!$B$22*MAX(0,(Assumptions!$B$10-10000)*C7)/10000)</f>
        <v>1</v>
      </c>
      <c r="W7" s="0" t="n">
        <f aca="false">IF(U7=1,Assumptions!$B$23,MAX(Assumptions!$B$23,E7*POWER(1-O7,C7)*V7))</f>
        <v>17220.7180561688</v>
      </c>
      <c r="X7" s="0" t="n">
        <f aca="true">SUMPRODUCT((ROW(INDIRECT("1:"&amp;C7))&gt;Assumptions!$B$20)*Assumptions!$B$18*POWER(Assumptions!$B$19,ROW(INDIRECT("1:"&amp;C7))-Assumptions!$B$20-1)*IF(ROW(INDIRECT("1:"&amp;C7))&gt;Assumptions!$B$11,Assumptions!$B$21,1)/POWER(1+Assumptions!$B$2,ROW(INDIRECT("1:"&amp;C7))))</f>
        <v>0</v>
      </c>
      <c r="Y7" s="1" t="n">
        <f aca="false">-PV(Assumptions!$B$2,C7,R7+S7)+X7</f>
        <v>7289.58620937181</v>
      </c>
      <c r="Z7" s="1" t="n">
        <f aca="false">P7+Y7-(W7/POWER(1+Assumptions!$B$2,C7))</f>
        <v>17827.6926322599</v>
      </c>
      <c r="AA7" s="0" t="n">
        <f aca="false">P7*Assumptions!$B$7</f>
        <v>2554.225</v>
      </c>
      <c r="AB7" s="0" t="n">
        <f aca="false">P7-AA7</f>
        <v>22988.025</v>
      </c>
      <c r="AC7" s="1" t="n">
        <f aca="false">PMT(Assumptions!$B$5,Assumptions!$B$6,-AB7)</f>
        <v>455.081996995493</v>
      </c>
      <c r="AD7" s="0" t="n">
        <f aca="false">C7*12</f>
        <v>36</v>
      </c>
      <c r="AE7" s="0" t="n">
        <f aca="false">MIN(Assumptions!$B$6,AD7)</f>
        <v>36</v>
      </c>
      <c r="AF7" s="1" t="n">
        <f aca="false">IF(AD7&gt;=Assumptions!$B$6,0,-PV(Assumptions!$B$5,Assumptions!$B$6-AD7,AC7))</f>
        <v>10165.3308425251</v>
      </c>
      <c r="AG7" s="1" t="n">
        <f aca="false">AA7+(-PV(Assumptions!$B$3,AE7,AC7))+Y7-((W7-AF7)/POWER(1+Assumptions!$B$2,C7))</f>
        <v>18949.1447568625</v>
      </c>
      <c r="AH7" s="0" t="n">
        <f aca="false">H7/12</f>
        <v>3</v>
      </c>
      <c r="AI7" s="0" t="n">
        <f aca="false">MAX(0,Assumptions!$B$10-Assumptions!$B$24)*Assumptions!$B$25</f>
        <v>0</v>
      </c>
      <c r="AJ7" s="1" t="n">
        <f aca="false">F7+Assumptions!$B$27+(-PV(Assumptions!$B$3,H7-1,G7))</f>
        <v>11126.4894895654</v>
      </c>
      <c r="AK7" s="0" t="n">
        <f aca="false">CEILING(C7/AH7,1)</f>
        <v>1</v>
      </c>
      <c r="AL7" s="0" t="n">
        <f aca="false">(1+Assumptions!$B$26)/POWER(1+Assumptions!$B$2,AH7)</f>
        <v>0.906135810905202</v>
      </c>
      <c r="AM7" s="0" t="n">
        <f aca="false">IF(ABS(1-AL7)&lt;0.000000000001,AK7,(1-POWER(AL7,AK7))/(1-AL7))</f>
        <v>1</v>
      </c>
      <c r="AN7" s="0" t="n">
        <f aca="false">1/POWER(1+Assumptions!$B$2,AH7)</f>
        <v>0.871284433562695</v>
      </c>
      <c r="AO7" s="0" t="n">
        <f aca="false">IF(ABS(1-AN7)&lt;0.000000000001,AK7,AN7*(1-POWER(AN7,AK7))/(1-AN7))</f>
        <v>0.871284433562695</v>
      </c>
      <c r="AP7" s="1" t="n">
        <f aca="false">AJ7*AM7+Assumptions!$B$28*AO7+(-PV(Assumptions!$B$2,C7,R7+T7+AI7))</f>
        <v>19290.4062544041</v>
      </c>
      <c r="AQ7" s="0" t="n">
        <f aca="false">N7*(1+Assumptions!$B$8)</f>
        <v>14331.0825</v>
      </c>
      <c r="AR7" s="1" t="n">
        <f aca="false">PMT(Assumptions!$B$5,Assumptions!$B$29,-AQ7)</f>
        <v>442.43670152197</v>
      </c>
      <c r="AS7" s="0" t="n">
        <f aca="false">MAX(0,AD7-H7)</f>
        <v>0</v>
      </c>
      <c r="AT7" s="0" t="n">
        <f aca="false">MIN(Assumptions!$B$29,AS7)</f>
        <v>0</v>
      </c>
      <c r="AU7" s="1" t="n">
        <f aca="false">IF(AS7&gt;=Assumptions!$B$29,0,-PV(Assumptions!$B$5,Assumptions!$B$29-AS7,AR7))</f>
        <v>14331.0824999999</v>
      </c>
      <c r="AV7" s="1" t="n">
        <f aca="false">(-PV(Assumptions!$B$3,AT7,AR7))/POWER(1+Assumptions!$B$2,AH7)</f>
        <v>0</v>
      </c>
      <c r="AW7" s="1" t="n">
        <f aca="false">-PV(Assumptions!$B$2,AH7,T7+AI7)</f>
        <v>5318.41766002654</v>
      </c>
      <c r="AX7" s="1" t="n">
        <f aca="false">(-PV(Assumptions!$B$2,C7,S7))-(-PV(Assumptions!$B$2,AH7,S7))</f>
        <v>0</v>
      </c>
      <c r="AY7" s="1" t="n">
        <f aca="false">AJ7+AW7+AX7+(-PV(Assumptions!$B$2,C7,R7))+X7-(W7/POWER(1+Assumptions!$B$2,C7))</f>
        <v>3937.74890386707</v>
      </c>
      <c r="AZ7" s="1" t="n">
        <f aca="false">AY7+AV7+(AU7/POWER(1+Assumptions!$B$2,C7))</f>
        <v>16424.1980022198</v>
      </c>
      <c r="BA7" s="0" t="n">
        <f aca="false">AQ7/POWER(1+Assumptions!$B$2,AH7)</f>
        <v>12486.4490983527</v>
      </c>
      <c r="BB7" s="1" t="n">
        <f aca="false">AY7+BA7</f>
        <v>16424.1980022198</v>
      </c>
      <c r="BC7" s="1" t="n">
        <f aca="false">AJ7+Assumptions!$B$28/POWER(1+Assumptions!$B$2,AH7)+(-PV(Assumptions!$B$2,AH7,R7+T7+AI7))</f>
        <v>19290.4062544041</v>
      </c>
      <c r="BD7" s="1" t="n">
        <f aca="false">MIN(Z7,AG7,AZ7)</f>
        <v>16424.1980022198</v>
      </c>
      <c r="BE7" s="0" t="str">
        <f aca="false">IF(BD7=Z7,"Cash",IF(BD7=AG7,"Loan","Lease then buy out"))</f>
        <v>Lease then buy out</v>
      </c>
    </row>
    <row r="8" customFormat="false" ht="15" hidden="false" customHeight="false" outlineLevel="0" collapsed="false">
      <c r="A8" s="0" t="s">
        <v>46</v>
      </c>
      <c r="B8" s="0" t="s">
        <v>47</v>
      </c>
      <c r="C8" s="0" t="n">
        <v>3</v>
      </c>
      <c r="D8" s="0" t="n">
        <v>0</v>
      </c>
      <c r="E8" s="0" t="n">
        <v>26239</v>
      </c>
      <c r="F8" s="0" t="n">
        <v>2840</v>
      </c>
      <c r="G8" s="0" t="n">
        <v>340</v>
      </c>
      <c r="H8" s="0" t="n">
        <v>36</v>
      </c>
      <c r="I8" s="0" t="n">
        <v>27</v>
      </c>
      <c r="J8" s="0" t="n">
        <v>7779</v>
      </c>
      <c r="K8" s="0" t="s">
        <v>35</v>
      </c>
      <c r="L8" s="0" t="n">
        <v>162</v>
      </c>
      <c r="M8" s="0" t="n">
        <f aca="false">MAX(Assumptions!$B$33,Assumptions!$B$30-Assumptions!$B$31*(H8-36)-IF(D8=1,Assumptions!$B$32,0))</f>
        <v>0.57</v>
      </c>
      <c r="N8" s="0" t="n">
        <f aca="false">E8*M8</f>
        <v>14956.23</v>
      </c>
      <c r="O8" s="0" t="n">
        <f aca="false">1-POWER(J8/E8,0.1)</f>
        <v>0.114481478757063</v>
      </c>
      <c r="P8" s="0" t="n">
        <f aca="false">E8*(1+Assumptions!$B$8)+Assumptions!$B$9</f>
        <v>27950.95</v>
      </c>
      <c r="Q8" s="0" t="n">
        <f aca="false">IF(D8=1,Assumptions!$B$14*33.7,Assumptions!$B$13)</f>
        <v>3.1</v>
      </c>
      <c r="R8" s="0" t="n">
        <f aca="false">(Assumptions!$B$10/I8)*Q8</f>
        <v>1148.14814814815</v>
      </c>
      <c r="S8" s="0" t="n">
        <f aca="false">Assumptions!$B$15+Assumptions!$B$17</f>
        <v>1750</v>
      </c>
      <c r="T8" s="0" t="n">
        <f aca="false">Assumptions!$B$15*(1+Assumptions!$B$16)+Assumptions!$B$17</f>
        <v>1942</v>
      </c>
      <c r="U8" s="0" t="n">
        <f aca="false">IF(OR(C8&gt;Assumptions!$B$11,Assumptions!$B$10*C8&gt;Assumptions!$B$12),1,0)</f>
        <v>0</v>
      </c>
      <c r="V8" s="0" t="n">
        <f aca="false">MAX(0.6,1-Assumptions!$B$22*MAX(0,(Assumptions!$B$10-10000)*C8)/10000)</f>
        <v>1</v>
      </c>
      <c r="W8" s="0" t="n">
        <f aca="false">IF(U8=1,Assumptions!$B$23,MAX(Assumptions!$B$23,E8*POWER(1-O8,C8)*V8))</f>
        <v>18219.6582734596</v>
      </c>
      <c r="X8" s="0" t="n">
        <f aca="true">SUMPRODUCT((ROW(INDIRECT("1:"&amp;C8))&gt;Assumptions!$B$20)*Assumptions!$B$18*POWER(Assumptions!$B$19,ROW(INDIRECT("1:"&amp;C8))-Assumptions!$B$20-1)*IF(ROW(INDIRECT("1:"&amp;C8))&gt;Assumptions!$B$11,Assumptions!$B$21,1)/POWER(1+Assumptions!$B$2,ROW(INDIRECT("1:"&amp;C8))))</f>
        <v>0</v>
      </c>
      <c r="Y8" s="1" t="n">
        <f aca="false">-PV(Assumptions!$B$2,C8,R8+S8)+X8</f>
        <v>7936.95277676845</v>
      </c>
      <c r="Z8" s="1" t="n">
        <f aca="false">P8+Y8-(W8/POWER(1+Assumptions!$B$2,C8))</f>
        <v>20013.3981382713</v>
      </c>
      <c r="AA8" s="0" t="n">
        <f aca="false">P8*Assumptions!$B$7</f>
        <v>2795.095</v>
      </c>
      <c r="AB8" s="0" t="n">
        <f aca="false">P8-AA8</f>
        <v>25155.855</v>
      </c>
      <c r="AC8" s="1" t="n">
        <f aca="false">PMT(Assumptions!$B$5,Assumptions!$B$6,-AB8)</f>
        <v>497.997402105186</v>
      </c>
      <c r="AD8" s="0" t="n">
        <f aca="false">C8*12</f>
        <v>36</v>
      </c>
      <c r="AE8" s="0" t="n">
        <f aca="false">MIN(Assumptions!$B$6,AD8)</f>
        <v>36</v>
      </c>
      <c r="AF8" s="1" t="n">
        <f aca="false">IF(AD8&gt;=Assumptions!$B$6,0,-PV(Assumptions!$B$5,Assumptions!$B$6-AD8,AC8))</f>
        <v>11123.9477380762</v>
      </c>
      <c r="AG8" s="1" t="n">
        <f aca="false">AA8+(-PV(Assumptions!$B$3,AE8,AC8))+Y8-((W8-AF8)/POWER(1+Assumptions!$B$2,C8))</f>
        <v>21240.6060883212</v>
      </c>
      <c r="AH8" s="0" t="n">
        <f aca="false">H8/12</f>
        <v>3</v>
      </c>
      <c r="AI8" s="0" t="n">
        <f aca="false">MAX(0,Assumptions!$B$10-Assumptions!$B$24)*Assumptions!$B$25</f>
        <v>0</v>
      </c>
      <c r="AJ8" s="1" t="n">
        <f aca="false">F8+Assumptions!$B$27+(-PV(Assumptions!$B$3,H8-1,G8))</f>
        <v>14640.1129335566</v>
      </c>
      <c r="AK8" s="0" t="n">
        <f aca="false">CEILING(C8/AH8,1)</f>
        <v>1</v>
      </c>
      <c r="AL8" s="0" t="n">
        <f aca="false">(1+Assumptions!$B$26)/POWER(1+Assumptions!$B$2,AH8)</f>
        <v>0.906135810905202</v>
      </c>
      <c r="AM8" s="0" t="n">
        <f aca="false">IF(ABS(1-AL8)&lt;0.000000000001,AK8,(1-POWER(AL8,AK8))/(1-AL8))</f>
        <v>1</v>
      </c>
      <c r="AN8" s="0" t="n">
        <f aca="false">1/POWER(1+Assumptions!$B$2,AH8)</f>
        <v>0.871284433562695</v>
      </c>
      <c r="AO8" s="0" t="n">
        <f aca="false">IF(ABS(1-AN8)&lt;0.000000000001,AK8,AN8*(1-POWER(AN8,AK8))/(1-AN8))</f>
        <v>0.871284433562695</v>
      </c>
      <c r="AP8" s="1" t="n">
        <f aca="false">AJ8*AM8+Assumptions!$B$28*AO8+(-PV(Assumptions!$B$2,C8,R8+T8+AI8))</f>
        <v>23451.3962657919</v>
      </c>
      <c r="AQ8" s="0" t="n">
        <f aca="false">N8*(1+Assumptions!$B$8)</f>
        <v>15704.0415</v>
      </c>
      <c r="AR8" s="1" t="n">
        <f aca="false">PMT(Assumptions!$B$5,Assumptions!$B$29,-AQ8)</f>
        <v>484.823412455</v>
      </c>
      <c r="AS8" s="0" t="n">
        <f aca="false">MAX(0,AD8-H8)</f>
        <v>0</v>
      </c>
      <c r="AT8" s="0" t="n">
        <f aca="false">MIN(Assumptions!$B$29,AS8)</f>
        <v>0</v>
      </c>
      <c r="AU8" s="1" t="n">
        <f aca="false">IF(AS8&gt;=Assumptions!$B$29,0,-PV(Assumptions!$B$5,Assumptions!$B$29-AS8,AR8))</f>
        <v>15704.0414999999</v>
      </c>
      <c r="AV8" s="1" t="n">
        <f aca="false">(-PV(Assumptions!$B$3,AT8,AR8))/POWER(1+Assumptions!$B$2,AH8)</f>
        <v>0</v>
      </c>
      <c r="AW8" s="1" t="n">
        <f aca="false">-PV(Assumptions!$B$2,AH8,T8+AI8)</f>
        <v>5318.41766002654</v>
      </c>
      <c r="AX8" s="1" t="n">
        <f aca="false">(-PV(Assumptions!$B$2,C8,S8))-(-PV(Assumptions!$B$2,AH8,S8))</f>
        <v>0</v>
      </c>
      <c r="AY8" s="1" t="n">
        <f aca="false">AJ8+AW8+AX8+(-PV(Assumptions!$B$2,C8,R8))+X8-(W8/POWER(1+Assumptions!$B$2,C8))</f>
        <v>7228.37785386968</v>
      </c>
      <c r="AZ8" s="1" t="n">
        <f aca="false">AY8+AV8+(AU8/POWER(1+Assumptions!$B$2,C8))</f>
        <v>20911.0647568422</v>
      </c>
      <c r="BA8" s="0" t="n">
        <f aca="false">AQ8/POWER(1+Assumptions!$B$2,AH8)</f>
        <v>13682.6869029725</v>
      </c>
      <c r="BB8" s="1" t="n">
        <f aca="false">AY8+BA8</f>
        <v>20911.0647568422</v>
      </c>
      <c r="BC8" s="1" t="n">
        <f aca="false">AJ8+Assumptions!$B$28/POWER(1+Assumptions!$B$2,AH8)+(-PV(Assumptions!$B$2,AH8,R8+T8+AI8))</f>
        <v>23451.3962657919</v>
      </c>
      <c r="BD8" s="1" t="n">
        <f aca="false">MIN(Z8,AG8,AZ8)</f>
        <v>20013.3981382713</v>
      </c>
      <c r="BE8" s="0" t="str">
        <f aca="false">IF(BD8=Z8,"Cash",IF(BD8=AG8,"Loan","Lease then buy out"))</f>
        <v>Cash</v>
      </c>
    </row>
    <row r="9" customFormat="false" ht="15" hidden="false" customHeight="false" outlineLevel="0" collapsed="false">
      <c r="A9" s="0" t="s">
        <v>48</v>
      </c>
      <c r="B9" s="0" t="s">
        <v>49</v>
      </c>
      <c r="C9" s="0" t="n">
        <v>3</v>
      </c>
      <c r="D9" s="0" t="n">
        <v>0</v>
      </c>
      <c r="E9" s="0" t="n">
        <v>30658</v>
      </c>
      <c r="F9" s="0" t="n">
        <v>2865</v>
      </c>
      <c r="G9" s="0" t="n">
        <v>365</v>
      </c>
      <c r="H9" s="0" t="n">
        <v>36</v>
      </c>
      <c r="I9" s="0" t="n">
        <v>30</v>
      </c>
      <c r="J9" s="0" t="n">
        <v>9758</v>
      </c>
      <c r="K9" s="0" t="s">
        <v>35</v>
      </c>
      <c r="L9" s="0" t="n">
        <v>174.1</v>
      </c>
      <c r="M9" s="0" t="n">
        <f aca="false">MAX(Assumptions!$B$33,Assumptions!$B$30-Assumptions!$B$31*(H9-36)-IF(D9=1,Assumptions!$B$32,0))</f>
        <v>0.57</v>
      </c>
      <c r="N9" s="0" t="n">
        <f aca="false">E9*M9</f>
        <v>17475.06</v>
      </c>
      <c r="O9" s="0" t="n">
        <f aca="false">1-POWER(J9/E9,0.1)</f>
        <v>0.108170776168246</v>
      </c>
      <c r="P9" s="0" t="n">
        <f aca="false">E9*(1+Assumptions!$B$8)+Assumptions!$B$9</f>
        <v>32590.9</v>
      </c>
      <c r="Q9" s="0" t="n">
        <f aca="false">IF(D9=1,Assumptions!$B$14*33.7,Assumptions!$B$13)</f>
        <v>3.1</v>
      </c>
      <c r="R9" s="0" t="n">
        <f aca="false">(Assumptions!$B$10/I9)*Q9</f>
        <v>1033.33333333333</v>
      </c>
      <c r="S9" s="0" t="n">
        <f aca="false">Assumptions!$B$15+Assumptions!$B$17</f>
        <v>1750</v>
      </c>
      <c r="T9" s="0" t="n">
        <f aca="false">Assumptions!$B$15*(1+Assumptions!$B$16)+Assumptions!$B$17</f>
        <v>1942</v>
      </c>
      <c r="U9" s="0" t="n">
        <f aca="false">IF(OR(C9&gt;Assumptions!$B$11,Assumptions!$B$10*C9&gt;Assumptions!$B$12),1,0)</f>
        <v>0</v>
      </c>
      <c r="V9" s="0" t="n">
        <f aca="false">MAX(0.6,1-Assumptions!$B$22*MAX(0,(Assumptions!$B$10-10000)*C9)/10000)</f>
        <v>1</v>
      </c>
      <c r="W9" s="0" t="n">
        <f aca="false">IF(U9=1,Assumptions!$B$23,MAX(Assumptions!$B$23,E9*POWER(1-O9,C9)*V9))</f>
        <v>21746.477409602</v>
      </c>
      <c r="X9" s="0" t="n">
        <f aca="true">SUMPRODUCT((ROW(INDIRECT("1:"&amp;C9))&gt;Assumptions!$B$20)*Assumptions!$B$18*POWER(Assumptions!$B$19,ROW(INDIRECT("1:"&amp;C9))-Assumptions!$B$20-1)*IF(ROW(INDIRECT("1:"&amp;C9))&gt;Assumptions!$B$11,Assumptions!$B$21,1)/POWER(1+Assumptions!$B$2,ROW(INDIRECT("1:"&amp;C9))))</f>
        <v>0</v>
      </c>
      <c r="Y9" s="1" t="n">
        <f aca="false">-PV(Assumptions!$B$2,C9,R9+S9)+X9</f>
        <v>7622.51758689008</v>
      </c>
      <c r="Z9" s="1" t="n">
        <f aca="false">P9+Y9-(W9/POWER(1+Assumptions!$B$2,C9))</f>
        <v>21266.050335081</v>
      </c>
      <c r="AA9" s="0" t="n">
        <f aca="false">P9*Assumptions!$B$7</f>
        <v>3259.09</v>
      </c>
      <c r="AB9" s="0" t="n">
        <f aca="false">P9-AA9</f>
        <v>29331.81</v>
      </c>
      <c r="AC9" s="1" t="n">
        <f aca="false">PMT(Assumptions!$B$5,Assumptions!$B$6,-AB9)</f>
        <v>580.666615348312</v>
      </c>
      <c r="AD9" s="0" t="n">
        <f aca="false">C9*12</f>
        <v>36</v>
      </c>
      <c r="AE9" s="0" t="n">
        <f aca="false">MIN(Assumptions!$B$6,AD9)</f>
        <v>36</v>
      </c>
      <c r="AF9" s="1" t="n">
        <f aca="false">IF(AD9&gt;=Assumptions!$B$6,0,-PV(Assumptions!$B$5,Assumptions!$B$6-AD9,AC9))</f>
        <v>12970.5597962454</v>
      </c>
      <c r="AG9" s="1" t="n">
        <f aca="false">AA9+(-PV(Assumptions!$B$3,AE9,AC9))+Y9-((W9-AF9)/POWER(1+Assumptions!$B$2,C9))</f>
        <v>22696.9788573417</v>
      </c>
      <c r="AH9" s="0" t="n">
        <f aca="false">H9/12</f>
        <v>3</v>
      </c>
      <c r="AI9" s="0" t="n">
        <f aca="false">MAX(0,Assumptions!$B$10-Assumptions!$B$24)*Assumptions!$B$25</f>
        <v>0</v>
      </c>
      <c r="AJ9" s="1" t="n">
        <f aca="false">F9+Assumptions!$B$27+(-PV(Assumptions!$B$3,H9-1,G9))</f>
        <v>15481.2977080828</v>
      </c>
      <c r="AK9" s="0" t="n">
        <f aca="false">CEILING(C9/AH9,1)</f>
        <v>1</v>
      </c>
      <c r="AL9" s="0" t="n">
        <f aca="false">(1+Assumptions!$B$26)/POWER(1+Assumptions!$B$2,AH9)</f>
        <v>0.906135810905202</v>
      </c>
      <c r="AM9" s="0" t="n">
        <f aca="false">IF(ABS(1-AL9)&lt;0.000000000001,AK9,(1-POWER(AL9,AK9))/(1-AL9))</f>
        <v>1</v>
      </c>
      <c r="AN9" s="0" t="n">
        <f aca="false">1/POWER(1+Assumptions!$B$2,AH9)</f>
        <v>0.871284433562695</v>
      </c>
      <c r="AO9" s="0" t="n">
        <f aca="false">IF(ABS(1-AN9)&lt;0.000000000001,AK9,AN9*(1-POWER(AN9,AK9))/(1-AN9))</f>
        <v>0.871284433562695</v>
      </c>
      <c r="AP9" s="1" t="n">
        <f aca="false">AJ9*AM9+Assumptions!$B$28*AO9+(-PV(Assumptions!$B$2,C9,R9+T9+AI9))</f>
        <v>23978.1458504398</v>
      </c>
      <c r="AQ9" s="0" t="n">
        <f aca="false">N9*(1+Assumptions!$B$8)</f>
        <v>18348.813</v>
      </c>
      <c r="AR9" s="1" t="n">
        <f aca="false">PMT(Assumptions!$B$5,Assumptions!$B$29,-AQ9)</f>
        <v>566.474186479873</v>
      </c>
      <c r="AS9" s="0" t="n">
        <f aca="false">MAX(0,AD9-H9)</f>
        <v>0</v>
      </c>
      <c r="AT9" s="0" t="n">
        <f aca="false">MIN(Assumptions!$B$29,AS9)</f>
        <v>0</v>
      </c>
      <c r="AU9" s="1" t="n">
        <f aca="false">IF(AS9&gt;=Assumptions!$B$29,0,-PV(Assumptions!$B$5,Assumptions!$B$29-AS9,AR9))</f>
        <v>18348.8129999999</v>
      </c>
      <c r="AV9" s="1" t="n">
        <f aca="false">(-PV(Assumptions!$B$3,AT9,AR9))/POWER(1+Assumptions!$B$2,AH9)</f>
        <v>0</v>
      </c>
      <c r="AW9" s="1" t="n">
        <f aca="false">-PV(Assumptions!$B$2,AH9,T9+AI9)</f>
        <v>5318.41766002654</v>
      </c>
      <c r="AX9" s="1" t="n">
        <f aca="false">(-PV(Assumptions!$B$2,C9,S9))-(-PV(Assumptions!$B$2,AH9,S9))</f>
        <v>0</v>
      </c>
      <c r="AY9" s="1" t="n">
        <f aca="false">AJ9+AW9+AX9+(-PV(Assumptions!$B$2,C9,R9))+X9-(W9/POWER(1+Assumptions!$B$2,C9))</f>
        <v>4682.26482520562</v>
      </c>
      <c r="AZ9" s="1" t="n">
        <f aca="false">AY9+AV9+(AU9/POWER(1+Assumptions!$B$2,C9))</f>
        <v>20669.2999664583</v>
      </c>
      <c r="BA9" s="0" t="n">
        <f aca="false">AQ9/POWER(1+Assumptions!$B$2,AH9)</f>
        <v>15987.0351412528</v>
      </c>
      <c r="BB9" s="1" t="n">
        <f aca="false">AY9+BA9</f>
        <v>20669.2999664584</v>
      </c>
      <c r="BC9" s="1" t="n">
        <f aca="false">AJ9+Assumptions!$B$28/POWER(1+Assumptions!$B$2,AH9)+(-PV(Assumptions!$B$2,AH9,R9+T9+AI9))</f>
        <v>23978.1458504398</v>
      </c>
      <c r="BD9" s="1" t="n">
        <f aca="false">MIN(Z9,AG9,AZ9)</f>
        <v>20669.2999664583</v>
      </c>
      <c r="BE9" s="0" t="str">
        <f aca="false">IF(BD9=Z9,"Cash",IF(BD9=AG9,"Loan","Lease then buy out"))</f>
        <v>Lease then buy out</v>
      </c>
    </row>
    <row r="10" customFormat="false" ht="15" hidden="false" customHeight="false" outlineLevel="0" collapsed="false">
      <c r="A10" s="0" t="s">
        <v>31</v>
      </c>
      <c r="B10" s="0" t="s">
        <v>50</v>
      </c>
      <c r="C10" s="0" t="n">
        <v>3</v>
      </c>
      <c r="D10" s="0" t="n">
        <v>0</v>
      </c>
      <c r="E10" s="0" t="n">
        <v>28977</v>
      </c>
      <c r="F10" s="0" t="n">
        <v>2794</v>
      </c>
      <c r="G10" s="0" t="n">
        <v>294</v>
      </c>
      <c r="H10" s="0" t="n">
        <v>36</v>
      </c>
      <c r="I10" s="0" t="n">
        <v>25.5</v>
      </c>
      <c r="J10" s="0" t="n">
        <v>11499</v>
      </c>
      <c r="K10" s="0" t="s">
        <v>35</v>
      </c>
      <c r="L10" s="0" t="n">
        <v>174.2</v>
      </c>
      <c r="M10" s="0" t="n">
        <f aca="false">MAX(Assumptions!$B$33,Assumptions!$B$30-Assumptions!$B$31*(H10-36)-IF(D10=1,Assumptions!$B$32,0))</f>
        <v>0.57</v>
      </c>
      <c r="N10" s="0" t="n">
        <f aca="false">E10*M10</f>
        <v>16516.89</v>
      </c>
      <c r="O10" s="0" t="n">
        <f aca="false">1-POWER(J10/E10,0.1)</f>
        <v>0.0882817141128345</v>
      </c>
      <c r="P10" s="0" t="n">
        <f aca="false">E10*(1+Assumptions!$B$8)+Assumptions!$B$9</f>
        <v>30825.85</v>
      </c>
      <c r="Q10" s="0" t="n">
        <f aca="false">IF(D10=1,Assumptions!$B$14*33.7,Assumptions!$B$13)</f>
        <v>3.1</v>
      </c>
      <c r="R10" s="0" t="n">
        <f aca="false">(Assumptions!$B$10/I10)*Q10</f>
        <v>1215.6862745098</v>
      </c>
      <c r="S10" s="0" t="n">
        <f aca="false">Assumptions!$B$15+Assumptions!$B$17</f>
        <v>1750</v>
      </c>
      <c r="T10" s="0" t="n">
        <f aca="false">Assumptions!$B$15*(1+Assumptions!$B$16)+Assumptions!$B$17</f>
        <v>1942</v>
      </c>
      <c r="U10" s="0" t="n">
        <f aca="false">IF(OR(C10&gt;Assumptions!$B$11,Assumptions!$B$10*C10&gt;Assumptions!$B$12),1,0)</f>
        <v>0</v>
      </c>
      <c r="V10" s="0" t="n">
        <f aca="false">MAX(0.6,1-Assumptions!$B$22*MAX(0,(Assumptions!$B$10-10000)*C10)/10000)</f>
        <v>1</v>
      </c>
      <c r="W10" s="0" t="n">
        <f aca="false">IF(U10=1,Assumptions!$B$23,MAX(Assumptions!$B$23,E10*POWER(1-O10,C10)*V10))</f>
        <v>21960.1557888402</v>
      </c>
      <c r="X10" s="0" t="n">
        <f aca="true">SUMPRODUCT((ROW(INDIRECT("1:"&amp;C10))&gt;Assumptions!$B$20)*Assumptions!$B$18*POWER(Assumptions!$B$19,ROW(INDIRECT("1:"&amp;C10))-Assumptions!$B$20-1)*IF(ROW(INDIRECT("1:"&amp;C10))&gt;Assumptions!$B$11,Assumptions!$B$21,1)/POWER(1+Assumptions!$B$2,ROW(INDIRECT("1:"&amp;C10))))</f>
        <v>0</v>
      </c>
      <c r="Y10" s="1" t="n">
        <f aca="false">-PV(Assumptions!$B$2,C10,R10+S10)+X10</f>
        <v>8121.91465316749</v>
      </c>
      <c r="Z10" s="1" t="n">
        <f aca="false">P10+Y10-(W10/POWER(1+Assumptions!$B$2,C10))</f>
        <v>19814.2227557393</v>
      </c>
      <c r="AA10" s="0" t="n">
        <f aca="false">P10*Assumptions!$B$7</f>
        <v>3082.585</v>
      </c>
      <c r="AB10" s="0" t="n">
        <f aca="false">P10-AA10</f>
        <v>27743.265</v>
      </c>
      <c r="AC10" s="1" t="n">
        <f aca="false">PMT(Assumptions!$B$5,Assumptions!$B$6,-AB10)</f>
        <v>549.219014655464</v>
      </c>
      <c r="AD10" s="0" t="n">
        <f aca="false">C10*12</f>
        <v>36</v>
      </c>
      <c r="AE10" s="0" t="n">
        <f aca="false">MIN(Assumptions!$B$6,AD10)</f>
        <v>36</v>
      </c>
      <c r="AF10" s="1" t="n">
        <f aca="false">IF(AD10&gt;=Assumptions!$B$6,0,-PV(Assumptions!$B$5,Assumptions!$B$6-AD10,AC10))</f>
        <v>12268.1033876049</v>
      </c>
      <c r="AG10" s="1" t="n">
        <f aca="false">AA10+(-PV(Assumptions!$B$3,AE10,AC10))+Y10-((W10-AF10)/POWER(1+Assumptions!$B$2,C10))</f>
        <v>21167.6554006779</v>
      </c>
      <c r="AH10" s="0" t="n">
        <f aca="false">H10/12</f>
        <v>3</v>
      </c>
      <c r="AI10" s="0" t="n">
        <f aca="false">MAX(0,Assumptions!$B$10-Assumptions!$B$24)*Assumptions!$B$25</f>
        <v>0</v>
      </c>
      <c r="AJ10" s="1" t="n">
        <f aca="false">F10+Assumptions!$B$27+(-PV(Assumptions!$B$3,H10-1,G10))</f>
        <v>13092.3329484284</v>
      </c>
      <c r="AK10" s="0" t="n">
        <f aca="false">CEILING(C10/AH10,1)</f>
        <v>1</v>
      </c>
      <c r="AL10" s="0" t="n">
        <f aca="false">(1+Assumptions!$B$26)/POWER(1+Assumptions!$B$2,AH10)</f>
        <v>0.906135810905202</v>
      </c>
      <c r="AM10" s="0" t="n">
        <f aca="false">IF(ABS(1-AL10)&lt;0.000000000001,AK10,(1-POWER(AL10,AK10))/(1-AL10))</f>
        <v>1</v>
      </c>
      <c r="AN10" s="0" t="n">
        <f aca="false">1/POWER(1+Assumptions!$B$2,AH10)</f>
        <v>0.871284433562695</v>
      </c>
      <c r="AO10" s="0" t="n">
        <f aca="false">IF(ABS(1-AN10)&lt;0.000000000001,AK10,AN10*(1-POWER(AN10,AK10))/(1-AN10))</f>
        <v>0.871284433562695</v>
      </c>
      <c r="AP10" s="1" t="n">
        <f aca="false">AJ10*AM10+Assumptions!$B$28*AO10+(-PV(Assumptions!$B$2,C10,R10+T10+AI10))</f>
        <v>22088.5781570627</v>
      </c>
      <c r="AQ10" s="0" t="n">
        <f aca="false">N10*(1+Assumptions!$B$8)</f>
        <v>17342.7345</v>
      </c>
      <c r="AR10" s="1" t="n">
        <f aca="false">PMT(Assumptions!$B$5,Assumptions!$B$29,-AQ10)</f>
        <v>535.414002923455</v>
      </c>
      <c r="AS10" s="0" t="n">
        <f aca="false">MAX(0,AD10-H10)</f>
        <v>0</v>
      </c>
      <c r="AT10" s="0" t="n">
        <f aca="false">MIN(Assumptions!$B$29,AS10)</f>
        <v>0</v>
      </c>
      <c r="AU10" s="1" t="n">
        <f aca="false">IF(AS10&gt;=Assumptions!$B$29,0,-PV(Assumptions!$B$5,Assumptions!$B$29-AS10,AR10))</f>
        <v>17342.7344999999</v>
      </c>
      <c r="AV10" s="1" t="n">
        <f aca="false">(-PV(Assumptions!$B$3,AT10,AR10))/POWER(1+Assumptions!$B$2,AH10)</f>
        <v>0</v>
      </c>
      <c r="AW10" s="1" t="n">
        <f aca="false">-PV(Assumptions!$B$2,AH10,T10+AI10)</f>
        <v>5318.41766002654</v>
      </c>
      <c r="AX10" s="1" t="n">
        <f aca="false">(-PV(Assumptions!$B$2,C10,S10))-(-PV(Assumptions!$B$2,AH10,S10))</f>
        <v>0</v>
      </c>
      <c r="AY10" s="1" t="n">
        <f aca="false">AJ10+AW10+AX10+(-PV(Assumptions!$B$2,C10,R10))+X10-(W10/POWER(1+Assumptions!$B$2,C10))</f>
        <v>2606.52248620947</v>
      </c>
      <c r="AZ10" s="1" t="n">
        <f aca="false">AY10+AV10+(AU10/POWER(1+Assumptions!$B$2,C10))</f>
        <v>17716.9770914701</v>
      </c>
      <c r="BA10" s="0" t="n">
        <f aca="false">AQ10/POWER(1+Assumptions!$B$2,AH10)</f>
        <v>15110.4546052607</v>
      </c>
      <c r="BB10" s="1" t="n">
        <f aca="false">AY10+BA10</f>
        <v>17716.9770914702</v>
      </c>
      <c r="BC10" s="1" t="n">
        <f aca="false">AJ10+Assumptions!$B$28/POWER(1+Assumptions!$B$2,AH10)+(-PV(Assumptions!$B$2,AH10,R10+T10+AI10))</f>
        <v>22088.5781570627</v>
      </c>
      <c r="BD10" s="1" t="n">
        <f aca="false">MIN(Z10,AG10,AZ10)</f>
        <v>17716.9770914701</v>
      </c>
      <c r="BE10" s="0" t="str">
        <f aca="false">IF(BD10=Z10,"Cash",IF(BD10=AG10,"Loan","Lease then buy out"))</f>
        <v>Lease then buy out</v>
      </c>
    </row>
    <row r="11" customFormat="false" ht="15" hidden="false" customHeight="false" outlineLevel="0" collapsed="false">
      <c r="A11" s="0" t="s">
        <v>51</v>
      </c>
      <c r="B11" s="0" t="s">
        <v>52</v>
      </c>
      <c r="C11" s="0" t="n">
        <v>3</v>
      </c>
      <c r="D11" s="0" t="n">
        <v>0</v>
      </c>
      <c r="E11" s="0" t="n">
        <v>27021</v>
      </c>
      <c r="F11" s="0" t="n">
        <v>2879</v>
      </c>
      <c r="G11" s="0" t="n">
        <v>379</v>
      </c>
      <c r="H11" s="0" t="n">
        <v>36</v>
      </c>
      <c r="I11" s="0" t="n">
        <v>30</v>
      </c>
      <c r="J11" s="0" t="n">
        <v>7378</v>
      </c>
      <c r="K11" s="0" t="s">
        <v>35</v>
      </c>
      <c r="L11" s="0" t="n">
        <v>148.4</v>
      </c>
      <c r="M11" s="0" t="n">
        <f aca="false">MAX(Assumptions!$B$33,Assumptions!$B$30-Assumptions!$B$31*(H11-36)-IF(D11=1,Assumptions!$B$32,0))</f>
        <v>0.57</v>
      </c>
      <c r="N11" s="0" t="n">
        <f aca="false">E11*M11</f>
        <v>15401.97</v>
      </c>
      <c r="O11" s="0" t="n">
        <f aca="false">1-POWER(J11/E11,0.1)</f>
        <v>0.121738746377836</v>
      </c>
      <c r="P11" s="0" t="n">
        <f aca="false">E11*(1+Assumptions!$B$8)+Assumptions!$B$9</f>
        <v>28772.05</v>
      </c>
      <c r="Q11" s="0" t="n">
        <f aca="false">IF(D11=1,Assumptions!$B$14*33.7,Assumptions!$B$13)</f>
        <v>3.1</v>
      </c>
      <c r="R11" s="0" t="n">
        <f aca="false">(Assumptions!$B$10/I11)*Q11</f>
        <v>1033.33333333333</v>
      </c>
      <c r="S11" s="0" t="n">
        <f aca="false">Assumptions!$B$15+Assumptions!$B$17</f>
        <v>1750</v>
      </c>
      <c r="T11" s="0" t="n">
        <f aca="false">Assumptions!$B$15*(1+Assumptions!$B$16)+Assumptions!$B$17</f>
        <v>1942</v>
      </c>
      <c r="U11" s="0" t="n">
        <f aca="false">IF(OR(C11&gt;Assumptions!$B$11,Assumptions!$B$10*C11&gt;Assumptions!$B$12),1,0)</f>
        <v>0</v>
      </c>
      <c r="V11" s="0" t="n">
        <f aca="false">MAX(0.6,1-Assumptions!$B$22*MAX(0,(Assumptions!$B$10-10000)*C11)/10000)</f>
        <v>1</v>
      </c>
      <c r="W11" s="0" t="n">
        <f aca="false">IF(U11=1,Assumptions!$B$23,MAX(Assumptions!$B$23,E11*POWER(1-O11,C11)*V11))</f>
        <v>18305.1203046801</v>
      </c>
      <c r="X11" s="0" t="n">
        <f aca="true">SUMPRODUCT((ROW(INDIRECT("1:"&amp;C11))&gt;Assumptions!$B$20)*Assumptions!$B$18*POWER(Assumptions!$B$19,ROW(INDIRECT("1:"&amp;C11))-Assumptions!$B$20-1)*IF(ROW(INDIRECT("1:"&amp;C11))&gt;Assumptions!$B$11,Assumptions!$B$21,1)/POWER(1+Assumptions!$B$2,ROW(INDIRECT("1:"&amp;C11))))</f>
        <v>0</v>
      </c>
      <c r="Y11" s="1" t="n">
        <f aca="false">-PV(Assumptions!$B$2,C11,R11+S11)+X11</f>
        <v>7622.51758689008</v>
      </c>
      <c r="Z11" s="1" t="n">
        <f aca="false">P11+Y11-(W11/POWER(1+Assumptions!$B$2,C11))</f>
        <v>20445.6012109299</v>
      </c>
      <c r="AA11" s="0" t="n">
        <f aca="false">P11*Assumptions!$B$7</f>
        <v>2877.205</v>
      </c>
      <c r="AB11" s="0" t="n">
        <f aca="false">P11-AA11</f>
        <v>25894.845</v>
      </c>
      <c r="AC11" s="1" t="n">
        <f aca="false">PMT(Assumptions!$B$5,Assumptions!$B$6,-AB11)</f>
        <v>512.626803498289</v>
      </c>
      <c r="AD11" s="0" t="n">
        <f aca="false">C11*12</f>
        <v>36</v>
      </c>
      <c r="AE11" s="0" t="n">
        <f aca="false">MIN(Assumptions!$B$6,AD11)</f>
        <v>36</v>
      </c>
      <c r="AF11" s="1" t="n">
        <f aca="false">IF(AD11&gt;=Assumptions!$B$6,0,-PV(Assumptions!$B$5,Assumptions!$B$6-AD11,AC11))</f>
        <v>11450.7299579196</v>
      </c>
      <c r="AG11" s="1" t="n">
        <f aca="false">AA11+(-PV(Assumptions!$B$3,AE11,AC11))+Y11-((W11-AF11)/POWER(1+Assumptions!$B$2,C11))</f>
        <v>21708.8601877888</v>
      </c>
      <c r="AH11" s="0" t="n">
        <f aca="false">H11/12</f>
        <v>3</v>
      </c>
      <c r="AI11" s="0" t="n">
        <f aca="false">MAX(0,Assumptions!$B$10-Assumptions!$B$24)*Assumptions!$B$25</f>
        <v>0</v>
      </c>
      <c r="AJ11" s="1" t="n">
        <f aca="false">F11+Assumptions!$B$27+(-PV(Assumptions!$B$3,H11-1,G11))</f>
        <v>15952.3611818175</v>
      </c>
      <c r="AK11" s="0" t="n">
        <f aca="false">CEILING(C11/AH11,1)</f>
        <v>1</v>
      </c>
      <c r="AL11" s="0" t="n">
        <f aca="false">(1+Assumptions!$B$26)/POWER(1+Assumptions!$B$2,AH11)</f>
        <v>0.906135810905202</v>
      </c>
      <c r="AM11" s="0" t="n">
        <f aca="false">IF(ABS(1-AL11)&lt;0.000000000001,AK11,(1-POWER(AL11,AK11))/(1-AL11))</f>
        <v>1</v>
      </c>
      <c r="AN11" s="0" t="n">
        <f aca="false">1/POWER(1+Assumptions!$B$2,AH11)</f>
        <v>0.871284433562695</v>
      </c>
      <c r="AO11" s="0" t="n">
        <f aca="false">IF(ABS(1-AN11)&lt;0.000000000001,AK11,AN11*(1-POWER(AN11,AK11))/(1-AN11))</f>
        <v>0.871284433562695</v>
      </c>
      <c r="AP11" s="1" t="n">
        <f aca="false">AJ11*AM11+Assumptions!$B$28*AO11+(-PV(Assumptions!$B$2,C11,R11+T11+AI11))</f>
        <v>24449.2093241744</v>
      </c>
      <c r="AQ11" s="0" t="n">
        <f aca="false">N11*(1+Assumptions!$B$8)</f>
        <v>16172.0685</v>
      </c>
      <c r="AR11" s="1" t="n">
        <f aca="false">PMT(Assumptions!$B$5,Assumptions!$B$29,-AQ11)</f>
        <v>499.272587672798</v>
      </c>
      <c r="AS11" s="0" t="n">
        <f aca="false">MAX(0,AD11-H11)</f>
        <v>0</v>
      </c>
      <c r="AT11" s="0" t="n">
        <f aca="false">MIN(Assumptions!$B$29,AS11)</f>
        <v>0</v>
      </c>
      <c r="AU11" s="1" t="n">
        <f aca="false">IF(AS11&gt;=Assumptions!$B$29,0,-PV(Assumptions!$B$5,Assumptions!$B$29-AS11,AR11))</f>
        <v>16172.0684999999</v>
      </c>
      <c r="AV11" s="1" t="n">
        <f aca="false">(-PV(Assumptions!$B$3,AT11,AR11))/POWER(1+Assumptions!$B$2,AH11)</f>
        <v>0</v>
      </c>
      <c r="AW11" s="1" t="n">
        <f aca="false">-PV(Assumptions!$B$2,AH11,T11+AI11)</f>
        <v>5318.41766002654</v>
      </c>
      <c r="AX11" s="1" t="n">
        <f aca="false">(-PV(Assumptions!$B$2,C11,S11))-(-PV(Assumptions!$B$2,AH11,S11))</f>
        <v>0</v>
      </c>
      <c r="AY11" s="1" t="n">
        <f aca="false">AJ11+AW11+AX11+(-PV(Assumptions!$B$2,C11,R11))+X11-(W11/POWER(1+Assumptions!$B$2,C11))</f>
        <v>8151.72917478918</v>
      </c>
      <c r="AZ11" s="1" t="n">
        <f aca="false">AY11+AV11+(AU11/POWER(1+Assumptions!$B$2,C11))</f>
        <v>22242.2007173487</v>
      </c>
      <c r="BA11" s="0" t="n">
        <f aca="false">AQ11/POWER(1+Assumptions!$B$2,AH11)</f>
        <v>14090.4715425596</v>
      </c>
      <c r="BB11" s="1" t="n">
        <f aca="false">AY11+BA11</f>
        <v>22242.2007173488</v>
      </c>
      <c r="BC11" s="1" t="n">
        <f aca="false">AJ11+Assumptions!$B$28/POWER(1+Assumptions!$B$2,AH11)+(-PV(Assumptions!$B$2,AH11,R11+T11+AI11))</f>
        <v>24449.2093241744</v>
      </c>
      <c r="BD11" s="1" t="n">
        <f aca="false">MIN(Z11,AG11,AZ11)</f>
        <v>20445.6012109299</v>
      </c>
      <c r="BE11" s="0" t="str">
        <f aca="false">IF(BD11=Z11,"Cash",IF(BD11=AG11,"Loan","Lease then buy out"))</f>
        <v>Cash</v>
      </c>
    </row>
    <row r="12" customFormat="false" ht="15" hidden="false" customHeight="false" outlineLevel="0" collapsed="false">
      <c r="A12" s="0" t="s">
        <v>53</v>
      </c>
      <c r="B12" s="0" t="s">
        <v>54</v>
      </c>
      <c r="C12" s="0" t="n">
        <v>3</v>
      </c>
      <c r="D12" s="0" t="n">
        <v>0</v>
      </c>
      <c r="E12" s="0" t="n">
        <v>27705</v>
      </c>
      <c r="F12" s="0" t="n">
        <v>3408</v>
      </c>
      <c r="G12" s="0" t="n">
        <v>408</v>
      </c>
      <c r="H12" s="0" t="n">
        <v>36</v>
      </c>
      <c r="I12" s="0" t="n">
        <v>30</v>
      </c>
      <c r="J12" s="0" t="n">
        <v>7884</v>
      </c>
      <c r="K12" s="0" t="s">
        <v>35</v>
      </c>
      <c r="L12" s="0" t="n">
        <v>146.2</v>
      </c>
      <c r="M12" s="0" t="n">
        <f aca="false">MAX(Assumptions!$B$33,Assumptions!$B$30-Assumptions!$B$31*(H12-36)-IF(D12=1,Assumptions!$B$32,0))</f>
        <v>0.57</v>
      </c>
      <c r="N12" s="0" t="n">
        <f aca="false">E12*M12</f>
        <v>15791.85</v>
      </c>
      <c r="O12" s="0" t="n">
        <f aca="false">1-POWER(J12/E12,0.1)</f>
        <v>0.118101008200628</v>
      </c>
      <c r="P12" s="0" t="n">
        <f aca="false">E12*(1+Assumptions!$B$8)+Assumptions!$B$9</f>
        <v>29490.25</v>
      </c>
      <c r="Q12" s="0" t="n">
        <f aca="false">IF(D12=1,Assumptions!$B$14*33.7,Assumptions!$B$13)</f>
        <v>3.1</v>
      </c>
      <c r="R12" s="0" t="n">
        <f aca="false">(Assumptions!$B$10/I12)*Q12</f>
        <v>1033.33333333333</v>
      </c>
      <c r="S12" s="0" t="n">
        <f aca="false">Assumptions!$B$15+Assumptions!$B$17</f>
        <v>1750</v>
      </c>
      <c r="T12" s="0" t="n">
        <f aca="false">Assumptions!$B$15*(1+Assumptions!$B$16)+Assumptions!$B$17</f>
        <v>1942</v>
      </c>
      <c r="U12" s="0" t="n">
        <f aca="false">IF(OR(C12&gt;Assumptions!$B$11,Assumptions!$B$10*C12&gt;Assumptions!$B$12),1,0)</f>
        <v>0</v>
      </c>
      <c r="V12" s="0" t="n">
        <f aca="false">MAX(0.6,1-Assumptions!$B$22*MAX(0,(Assumptions!$B$10-10000)*C12)/10000)</f>
        <v>1</v>
      </c>
      <c r="W12" s="0" t="n">
        <f aca="false">IF(U12=1,Assumptions!$B$23,MAX(Assumptions!$B$23,E12*POWER(1-O12,C12)*V12))</f>
        <v>19002.6729036335</v>
      </c>
      <c r="X12" s="0" t="n">
        <f aca="true">SUMPRODUCT((ROW(INDIRECT("1:"&amp;C12))&gt;Assumptions!$B$20)*Assumptions!$B$18*POWER(Assumptions!$B$19,ROW(INDIRECT("1:"&amp;C12))-Assumptions!$B$20-1)*IF(ROW(INDIRECT("1:"&amp;C12))&gt;Assumptions!$B$11,Assumptions!$B$21,1)/POWER(1+Assumptions!$B$2,ROW(INDIRECT("1:"&amp;C12))))</f>
        <v>0</v>
      </c>
      <c r="Y12" s="1" t="n">
        <f aca="false">-PV(Assumptions!$B$2,C12,R12+S12)+X12</f>
        <v>7622.51758689008</v>
      </c>
      <c r="Z12" s="1" t="n">
        <f aca="false">P12+Y12-(W12/POWER(1+Assumptions!$B$2,C12))</f>
        <v>20556.0344898706</v>
      </c>
      <c r="AA12" s="0" t="n">
        <f aca="false">P12*Assumptions!$B$7</f>
        <v>2949.025</v>
      </c>
      <c r="AB12" s="0" t="n">
        <f aca="false">P12-AA12</f>
        <v>26541.225</v>
      </c>
      <c r="AC12" s="1" t="n">
        <f aca="false">PMT(Assumptions!$B$5,Assumptions!$B$6,-AB12)</f>
        <v>525.422852798651</v>
      </c>
      <c r="AD12" s="0" t="n">
        <f aca="false">C12*12</f>
        <v>36</v>
      </c>
      <c r="AE12" s="0" t="n">
        <f aca="false">MIN(Assumptions!$B$6,AD12)</f>
        <v>36</v>
      </c>
      <c r="AF12" s="1" t="n">
        <f aca="false">IF(AD12&gt;=Assumptions!$B$6,0,-PV(Assumptions!$B$5,Assumptions!$B$6-AD12,AC12))</f>
        <v>11736.5599302636</v>
      </c>
      <c r="AG12" s="1" t="n">
        <f aca="false">AA12+(-PV(Assumptions!$B$3,AE12,AC12))+Y12-((W12-AF12)/POWER(1+Assumptions!$B$2,C12))</f>
        <v>21850.826589923</v>
      </c>
      <c r="AH12" s="0" t="n">
        <f aca="false">H12/12</f>
        <v>3</v>
      </c>
      <c r="AI12" s="0" t="n">
        <f aca="false">MAX(0,Assumptions!$B$10-Assumptions!$B$24)*Assumptions!$B$25</f>
        <v>0</v>
      </c>
      <c r="AJ12" s="1" t="n">
        <f aca="false">F12+Assumptions!$B$27+(-PV(Assumptions!$B$3,H12-1,G12))</f>
        <v>17428.1355202679</v>
      </c>
      <c r="AK12" s="0" t="n">
        <f aca="false">CEILING(C12/AH12,1)</f>
        <v>1</v>
      </c>
      <c r="AL12" s="0" t="n">
        <f aca="false">(1+Assumptions!$B$26)/POWER(1+Assumptions!$B$2,AH12)</f>
        <v>0.906135810905202</v>
      </c>
      <c r="AM12" s="0" t="n">
        <f aca="false">IF(ABS(1-AL12)&lt;0.000000000001,AK12,(1-POWER(AL12,AK12))/(1-AL12))</f>
        <v>1</v>
      </c>
      <c r="AN12" s="0" t="n">
        <f aca="false">1/POWER(1+Assumptions!$B$2,AH12)</f>
        <v>0.871284433562695</v>
      </c>
      <c r="AO12" s="0" t="n">
        <f aca="false">IF(ABS(1-AN12)&lt;0.000000000001,AK12,AN12*(1-POWER(AN12,AK12))/(1-AN12))</f>
        <v>0.871284433562695</v>
      </c>
      <c r="AP12" s="1" t="n">
        <f aca="false">AJ12*AM12+Assumptions!$B$28*AO12+(-PV(Assumptions!$B$2,C12,R12+T12+AI12))</f>
        <v>25924.9836626249</v>
      </c>
      <c r="AQ12" s="0" t="n">
        <f aca="false">N12*(1+Assumptions!$B$8)</f>
        <v>16581.4425</v>
      </c>
      <c r="AR12" s="1" t="n">
        <f aca="false">PMT(Assumptions!$B$5,Assumptions!$B$29,-AQ12)</f>
        <v>511.910996686832</v>
      </c>
      <c r="AS12" s="0" t="n">
        <f aca="false">MAX(0,AD12-H12)</f>
        <v>0</v>
      </c>
      <c r="AT12" s="0" t="n">
        <f aca="false">MIN(Assumptions!$B$29,AS12)</f>
        <v>0</v>
      </c>
      <c r="AU12" s="1" t="n">
        <f aca="false">IF(AS12&gt;=Assumptions!$B$29,0,-PV(Assumptions!$B$5,Assumptions!$B$29-AS12,AR12))</f>
        <v>16581.4424999999</v>
      </c>
      <c r="AV12" s="1" t="n">
        <f aca="false">(-PV(Assumptions!$B$3,AT12,AR12))/POWER(1+Assumptions!$B$2,AH12)</f>
        <v>0</v>
      </c>
      <c r="AW12" s="1" t="n">
        <f aca="false">-PV(Assumptions!$B$2,AH12,T12+AI12)</f>
        <v>5318.41766002654</v>
      </c>
      <c r="AX12" s="1" t="n">
        <f aca="false">(-PV(Assumptions!$B$2,C12,S12))-(-PV(Assumptions!$B$2,AH12,S12))</f>
        <v>0</v>
      </c>
      <c r="AY12" s="1" t="n">
        <f aca="false">AJ12+AW12+AX12+(-PV(Assumptions!$B$2,C12,R12))+X12-(W12/POWER(1+Assumptions!$B$2,C12))</f>
        <v>9019.73679218034</v>
      </c>
      <c r="AZ12" s="1" t="n">
        <f aca="false">AY12+AV12+(AU12/POWER(1+Assumptions!$B$2,C12))</f>
        <v>23466.8895284452</v>
      </c>
      <c r="BA12" s="0" t="n">
        <f aca="false">AQ12/POWER(1+Assumptions!$B$2,AH12)</f>
        <v>14447.1527362649</v>
      </c>
      <c r="BB12" s="1" t="n">
        <f aca="false">AY12+BA12</f>
        <v>23466.8895284452</v>
      </c>
      <c r="BC12" s="1" t="n">
        <f aca="false">AJ12+Assumptions!$B$28/POWER(1+Assumptions!$B$2,AH12)+(-PV(Assumptions!$B$2,AH12,R12+T12+AI12))</f>
        <v>25924.9836626249</v>
      </c>
      <c r="BD12" s="1" t="n">
        <f aca="false">MIN(Z12,AG12,AZ12)</f>
        <v>20556.0344898706</v>
      </c>
      <c r="BE12" s="0" t="str">
        <f aca="false">IF(BD12=Z12,"Cash",IF(BD12=AG12,"Loan","Lease then buy out"))</f>
        <v>Cash</v>
      </c>
    </row>
    <row r="13" customFormat="false" ht="15" hidden="false" customHeight="false" outlineLevel="0" collapsed="false">
      <c r="A13" s="0" t="s">
        <v>55</v>
      </c>
      <c r="B13" s="0" t="s">
        <v>56</v>
      </c>
      <c r="C13" s="0" t="n">
        <v>3</v>
      </c>
      <c r="D13" s="0" t="n">
        <v>0</v>
      </c>
      <c r="E13" s="0" t="n">
        <v>34802</v>
      </c>
      <c r="F13" s="0" t="n">
        <v>3002</v>
      </c>
      <c r="G13" s="0" t="n">
        <v>502</v>
      </c>
      <c r="H13" s="0" t="n">
        <v>36</v>
      </c>
      <c r="I13" s="0" t="n">
        <v>24</v>
      </c>
      <c r="J13" s="0" t="n">
        <v>12571</v>
      </c>
      <c r="K13" s="0" t="s">
        <v>35</v>
      </c>
      <c r="L13" s="0" t="n">
        <v>194.5</v>
      </c>
      <c r="M13" s="0" t="n">
        <f aca="false">MAX(Assumptions!$B$33,Assumptions!$B$30-Assumptions!$B$31*(H13-36)-IF(D13=1,Assumptions!$B$32,0))</f>
        <v>0.57</v>
      </c>
      <c r="N13" s="0" t="n">
        <f aca="false">E13*M13</f>
        <v>19837.14</v>
      </c>
      <c r="O13" s="0" t="n">
        <f aca="false">1-POWER(J13/E13,0.1)</f>
        <v>0.0968153200382337</v>
      </c>
      <c r="P13" s="0" t="n">
        <f aca="false">E13*(1+Assumptions!$B$8)+Assumptions!$B$9</f>
        <v>36942.1</v>
      </c>
      <c r="Q13" s="0" t="n">
        <f aca="false">IF(D13=1,Assumptions!$B$14*33.7,Assumptions!$B$13)</f>
        <v>3.1</v>
      </c>
      <c r="R13" s="0" t="n">
        <f aca="false">(Assumptions!$B$10/I13)*Q13</f>
        <v>1291.66666666667</v>
      </c>
      <c r="S13" s="0" t="n">
        <f aca="false">Assumptions!$B$15+Assumptions!$B$17</f>
        <v>1750</v>
      </c>
      <c r="T13" s="0" t="n">
        <f aca="false">Assumptions!$B$15*(1+Assumptions!$B$16)+Assumptions!$B$17</f>
        <v>1942</v>
      </c>
      <c r="U13" s="0" t="n">
        <f aca="false">IF(OR(C13&gt;Assumptions!$B$11,Assumptions!$B$10*C13&gt;Assumptions!$B$12),1,0)</f>
        <v>0</v>
      </c>
      <c r="V13" s="0" t="n">
        <f aca="false">MAX(0.6,1-Assumptions!$B$22*MAX(0,(Assumptions!$B$10-10000)*C13)/10000)</f>
        <v>1</v>
      </c>
      <c r="W13" s="0" t="n">
        <f aca="false">IF(U13=1,Assumptions!$B$23,MAX(Assumptions!$B$23,E13*POWER(1-O13,C13)*V13))</f>
        <v>25640.9368925302</v>
      </c>
      <c r="X13" s="0" t="n">
        <f aca="true">SUMPRODUCT((ROW(INDIRECT("1:"&amp;C13))&gt;Assumptions!$B$20)*Assumptions!$B$18*POWER(Assumptions!$B$19,ROW(INDIRECT("1:"&amp;C13))-Assumptions!$B$20-1)*IF(ROW(INDIRECT("1:"&amp;C13))&gt;Assumptions!$B$11,Assumptions!$B$21,1)/POWER(1+Assumptions!$B$2,ROW(INDIRECT("1:"&amp;C13))))</f>
        <v>0</v>
      </c>
      <c r="Y13" s="1" t="n">
        <f aca="false">-PV(Assumptions!$B$2,C13,R13+S13)+X13</f>
        <v>8329.99676411641</v>
      </c>
      <c r="Z13" s="1" t="n">
        <f aca="false">P13+Y13-(W13/POWER(1+Assumptions!$B$2,C13))</f>
        <v>22931.5475876914</v>
      </c>
      <c r="AA13" s="0" t="n">
        <f aca="false">P13*Assumptions!$B$7</f>
        <v>3694.21</v>
      </c>
      <c r="AB13" s="0" t="n">
        <f aca="false">P13-AA13</f>
        <v>33247.89</v>
      </c>
      <c r="AC13" s="1" t="n">
        <f aca="false">PMT(Assumptions!$B$5,Assumptions!$B$6,-AB13)</f>
        <v>658.191218127111</v>
      </c>
      <c r="AD13" s="0" t="n">
        <f aca="false">C13*12</f>
        <v>36</v>
      </c>
      <c r="AE13" s="0" t="n">
        <f aca="false">MIN(Assumptions!$B$6,AD13)</f>
        <v>36</v>
      </c>
      <c r="AF13" s="1" t="n">
        <f aca="false">IF(AD13&gt;=Assumptions!$B$6,0,-PV(Assumptions!$B$5,Assumptions!$B$6-AD13,AC13))</f>
        <v>14702.25483337</v>
      </c>
      <c r="AG13" s="1" t="n">
        <f aca="false">AA13+(-PV(Assumptions!$B$3,AE13,AC13))+Y13-((W13-AF13)/POWER(1+Assumptions!$B$2,C13))</f>
        <v>24553.5188914052</v>
      </c>
      <c r="AH13" s="0" t="n">
        <f aca="false">H13/12</f>
        <v>3</v>
      </c>
      <c r="AI13" s="0" t="n">
        <f aca="false">MAX(0,Assumptions!$B$10-Assumptions!$B$24)*Assumptions!$B$25</f>
        <v>0</v>
      </c>
      <c r="AJ13" s="1" t="n">
        <f aca="false">F13+Assumptions!$B$27+(-PV(Assumptions!$B$3,H13-1,G13))</f>
        <v>20090.9902724865</v>
      </c>
      <c r="AK13" s="0" t="n">
        <f aca="false">CEILING(C13/AH13,1)</f>
        <v>1</v>
      </c>
      <c r="AL13" s="0" t="n">
        <f aca="false">(1+Assumptions!$B$26)/POWER(1+Assumptions!$B$2,AH13)</f>
        <v>0.906135810905202</v>
      </c>
      <c r="AM13" s="0" t="n">
        <f aca="false">IF(ABS(1-AL13)&lt;0.000000000001,AK13,(1-POWER(AL13,AK13))/(1-AL13))</f>
        <v>1</v>
      </c>
      <c r="AN13" s="0" t="n">
        <f aca="false">1/POWER(1+Assumptions!$B$2,AH13)</f>
        <v>0.871284433562695</v>
      </c>
      <c r="AO13" s="0" t="n">
        <f aca="false">IF(ABS(1-AN13)&lt;0.000000000001,AK13,AN13*(1-POWER(AN13,AK13))/(1-AN13))</f>
        <v>0.871284433562695</v>
      </c>
      <c r="AP13" s="1" t="n">
        <f aca="false">AJ13*AM13+Assumptions!$B$28*AO13+(-PV(Assumptions!$B$2,C13,R13+T13+AI13))</f>
        <v>29295.3175920698</v>
      </c>
      <c r="AQ13" s="0" t="n">
        <f aca="false">N13*(1+Assumptions!$B$8)</f>
        <v>20828.997</v>
      </c>
      <c r="AR13" s="1" t="n">
        <f aca="false">PMT(Assumptions!$B$5,Assumptions!$B$29,-AQ13)</f>
        <v>643.043728810508</v>
      </c>
      <c r="AS13" s="0" t="n">
        <f aca="false">MAX(0,AD13-H13)</f>
        <v>0</v>
      </c>
      <c r="AT13" s="0" t="n">
        <f aca="false">MIN(Assumptions!$B$29,AS13)</f>
        <v>0</v>
      </c>
      <c r="AU13" s="1" t="n">
        <f aca="false">IF(AS13&gt;=Assumptions!$B$29,0,-PV(Assumptions!$B$5,Assumptions!$B$29-AS13,AR13))</f>
        <v>20828.9969999999</v>
      </c>
      <c r="AV13" s="1" t="n">
        <f aca="false">(-PV(Assumptions!$B$3,AT13,AR13))/POWER(1+Assumptions!$B$2,AH13)</f>
        <v>0</v>
      </c>
      <c r="AW13" s="1" t="n">
        <f aca="false">-PV(Assumptions!$B$2,AH13,T13+AI13)</f>
        <v>5318.41766002654</v>
      </c>
      <c r="AX13" s="1" t="n">
        <f aca="false">(-PV(Assumptions!$B$2,C13,S13))-(-PV(Assumptions!$B$2,AH13,S13))</f>
        <v>0</v>
      </c>
      <c r="AY13" s="1" t="n">
        <f aca="false">AJ13+AW13+AX13+(-PV(Assumptions!$B$2,C13,R13))+X13-(W13/POWER(1+Assumptions!$B$2,C13))</f>
        <v>6606.25464221973</v>
      </c>
      <c r="AZ13" s="1" t="n">
        <f aca="false">AY13+AV13+(AU13/POWER(1+Assumptions!$B$2,C13))</f>
        <v>24754.2354950437</v>
      </c>
      <c r="BA13" s="0" t="n">
        <f aca="false">AQ13/POWER(1+Assumptions!$B$2,AH13)</f>
        <v>18147.9808528241</v>
      </c>
      <c r="BB13" s="1" t="n">
        <f aca="false">AY13+BA13</f>
        <v>24754.2354950438</v>
      </c>
      <c r="BC13" s="1" t="n">
        <f aca="false">AJ13+Assumptions!$B$28/POWER(1+Assumptions!$B$2,AH13)+(-PV(Assumptions!$B$2,AH13,R13+T13+AI13))</f>
        <v>29295.3175920698</v>
      </c>
      <c r="BD13" s="1" t="n">
        <f aca="false">MIN(Z13,AG13,AZ13)</f>
        <v>22931.5475876914</v>
      </c>
      <c r="BE13" s="0" t="str">
        <f aca="false">IF(BD13=Z13,"Cash",IF(BD13=AG13,"Loan","Lease then buy out"))</f>
        <v>Cash</v>
      </c>
    </row>
    <row r="14" customFormat="false" ht="15" hidden="false" customHeight="false" outlineLevel="0" collapsed="false">
      <c r="A14" s="0" t="s">
        <v>41</v>
      </c>
      <c r="B14" s="0" t="s">
        <v>57</v>
      </c>
      <c r="C14" s="0" t="n">
        <v>3</v>
      </c>
      <c r="D14" s="0" t="n">
        <v>0</v>
      </c>
      <c r="E14" s="0" t="n">
        <v>27398</v>
      </c>
      <c r="F14" s="0" t="n">
        <v>2809</v>
      </c>
      <c r="G14" s="0" t="n">
        <v>309</v>
      </c>
      <c r="H14" s="0" t="n">
        <v>36</v>
      </c>
      <c r="I14" s="0" t="n">
        <v>28</v>
      </c>
      <c r="J14" s="0" t="n">
        <v>7930</v>
      </c>
      <c r="K14" s="0" t="s">
        <v>35</v>
      </c>
      <c r="L14" s="0" t="n">
        <v>148.3</v>
      </c>
      <c r="M14" s="0" t="n">
        <f aca="false">MAX(Assumptions!$B$33,Assumptions!$B$30-Assumptions!$B$31*(H14-36)-IF(D14=1,Assumptions!$B$32,0))</f>
        <v>0.57</v>
      </c>
      <c r="N14" s="0" t="n">
        <f aca="false">E14*M14</f>
        <v>15616.86</v>
      </c>
      <c r="O14" s="0" t="n">
        <f aca="false">1-POWER(J14/E14,0.1)</f>
        <v>0.116603991561914</v>
      </c>
      <c r="P14" s="0" t="n">
        <f aca="false">E14*(1+Assumptions!$B$8)+Assumptions!$B$9</f>
        <v>29167.9</v>
      </c>
      <c r="Q14" s="0" t="n">
        <f aca="false">IF(D14=1,Assumptions!$B$14*33.7,Assumptions!$B$13)</f>
        <v>3.1</v>
      </c>
      <c r="R14" s="0" t="n">
        <f aca="false">(Assumptions!$B$10/I14)*Q14</f>
        <v>1107.14285714286</v>
      </c>
      <c r="S14" s="0" t="n">
        <f aca="false">Assumptions!$B$15+Assumptions!$B$17</f>
        <v>1750</v>
      </c>
      <c r="T14" s="0" t="n">
        <f aca="false">Assumptions!$B$15*(1+Assumptions!$B$16)+Assumptions!$B$17</f>
        <v>1942</v>
      </c>
      <c r="U14" s="0" t="n">
        <f aca="false">IF(OR(C14&gt;Assumptions!$B$11,Assumptions!$B$10*C14&gt;Assumptions!$B$12),1,0)</f>
        <v>0</v>
      </c>
      <c r="V14" s="0" t="n">
        <f aca="false">MAX(0.6,1-Assumptions!$B$22*MAX(0,(Assumptions!$B$10-10000)*C14)/10000)</f>
        <v>1</v>
      </c>
      <c r="W14" s="0" t="n">
        <f aca="false">IF(U14=1,Assumptions!$B$23,MAX(Assumptions!$B$23,E14*POWER(1-O14,C14)*V14))</f>
        <v>18887.9645572916</v>
      </c>
      <c r="X14" s="0" t="n">
        <f aca="true">SUMPRODUCT((ROW(INDIRECT("1:"&amp;C14))&gt;Assumptions!$B$20)*Assumptions!$B$18*POWER(Assumptions!$B$19,ROW(INDIRECT("1:"&amp;C14))-Assumptions!$B$20-1)*IF(ROW(INDIRECT("1:"&amp;C14))&gt;Assumptions!$B$11,Assumptions!$B$21,1)/POWER(1+Assumptions!$B$2,ROW(INDIRECT("1:"&amp;C14))))</f>
        <v>0</v>
      </c>
      <c r="Y14" s="1" t="n">
        <f aca="false">-PV(Assumptions!$B$2,C14,R14+S14)+X14</f>
        <v>7824.65449466903</v>
      </c>
      <c r="Z14" s="1" t="n">
        <f aca="false">P14+Y14-(W14/POWER(1+Assumptions!$B$2,C14))</f>
        <v>20535.764994217</v>
      </c>
      <c r="AA14" s="0" t="n">
        <f aca="false">P14*Assumptions!$B$7</f>
        <v>2916.79</v>
      </c>
      <c r="AB14" s="0" t="n">
        <f aca="false">P14-AA14</f>
        <v>26251.11</v>
      </c>
      <c r="AC14" s="1" t="n">
        <f aca="false">PMT(Assumptions!$B$5,Assumptions!$B$6,-AB14)</f>
        <v>519.679596753021</v>
      </c>
      <c r="AD14" s="0" t="n">
        <f aca="false">C14*12</f>
        <v>36</v>
      </c>
      <c r="AE14" s="0" t="n">
        <f aca="false">MIN(Assumptions!$B$6,AD14)</f>
        <v>36</v>
      </c>
      <c r="AF14" s="1" t="n">
        <f aca="false">IF(AD14&gt;=Assumptions!$B$6,0,-PV(Assumptions!$B$5,Assumptions!$B$6-AD14,AC14))</f>
        <v>11608.27074677</v>
      </c>
      <c r="AG14" s="1" t="n">
        <f aca="false">AA14+(-PV(Assumptions!$B$3,AE14,AC14))+Y14-((W14-AF14)/POWER(1+Assumptions!$B$2,C14))</f>
        <v>21816.4040696781</v>
      </c>
      <c r="AH14" s="0" t="n">
        <f aca="false">H14/12</f>
        <v>3</v>
      </c>
      <c r="AI14" s="0" t="n">
        <f aca="false">MAX(0,Assumptions!$B$10-Assumptions!$B$24)*Assumptions!$B$25</f>
        <v>0</v>
      </c>
      <c r="AJ14" s="1" t="n">
        <f aca="false">F14+Assumptions!$B$27+(-PV(Assumptions!$B$3,H14-1,G14))</f>
        <v>13597.0438131441</v>
      </c>
      <c r="AK14" s="0" t="n">
        <f aca="false">CEILING(C14/AH14,1)</f>
        <v>1</v>
      </c>
      <c r="AL14" s="0" t="n">
        <f aca="false">(1+Assumptions!$B$26)/POWER(1+Assumptions!$B$2,AH14)</f>
        <v>0.906135810905202</v>
      </c>
      <c r="AM14" s="0" t="n">
        <f aca="false">IF(ABS(1-AL14)&lt;0.000000000001,AK14,(1-POWER(AL14,AK14))/(1-AL14))</f>
        <v>1</v>
      </c>
      <c r="AN14" s="0" t="n">
        <f aca="false">1/POWER(1+Assumptions!$B$2,AH14)</f>
        <v>0.871284433562695</v>
      </c>
      <c r="AO14" s="0" t="n">
        <f aca="false">IF(ABS(1-AN14)&lt;0.000000000001,AK14,AN14*(1-POWER(AN14,AK14))/(1-AN14))</f>
        <v>0.871284433562695</v>
      </c>
      <c r="AP14" s="1" t="n">
        <f aca="false">AJ14*AM14+Assumptions!$B$28*AO14+(-PV(Assumptions!$B$2,C14,R14+T14+AI14))</f>
        <v>22296.02886328</v>
      </c>
      <c r="AQ14" s="0" t="n">
        <f aca="false">N14*(1+Assumptions!$B$8)</f>
        <v>16397.703</v>
      </c>
      <c r="AR14" s="1" t="n">
        <f aca="false">PMT(Assumptions!$B$5,Assumptions!$B$29,-AQ14)</f>
        <v>506.238494395445</v>
      </c>
      <c r="AS14" s="0" t="n">
        <f aca="false">MAX(0,AD14-H14)</f>
        <v>0</v>
      </c>
      <c r="AT14" s="0" t="n">
        <f aca="false">MIN(Assumptions!$B$29,AS14)</f>
        <v>0</v>
      </c>
      <c r="AU14" s="1" t="n">
        <f aca="false">IF(AS14&gt;=Assumptions!$B$29,0,-PV(Assumptions!$B$5,Assumptions!$B$29-AS14,AR14))</f>
        <v>16397.7029999999</v>
      </c>
      <c r="AV14" s="1" t="n">
        <f aca="false">(-PV(Assumptions!$B$3,AT14,AR14))/POWER(1+Assumptions!$B$2,AH14)</f>
        <v>0</v>
      </c>
      <c r="AW14" s="1" t="n">
        <f aca="false">-PV(Assumptions!$B$2,AH14,T14+AI14)</f>
        <v>5318.41766002654</v>
      </c>
      <c r="AX14" s="1" t="n">
        <f aca="false">(-PV(Assumptions!$B$2,C14,S14))-(-PV(Assumptions!$B$2,AH14,S14))</f>
        <v>0</v>
      </c>
      <c r="AY14" s="1" t="n">
        <f aca="false">AJ14+AW14+AX14+(-PV(Assumptions!$B$2,C14,R14))+X14-(W14/POWER(1+Assumptions!$B$2,C14))</f>
        <v>5490.72558940285</v>
      </c>
      <c r="AZ14" s="1" t="n">
        <f aca="false">AY14+AV14+(AU14/POWER(1+Assumptions!$B$2,C14))</f>
        <v>19777.7889594871</v>
      </c>
      <c r="BA14" s="0" t="n">
        <f aca="false">AQ14/POWER(1+Assumptions!$B$2,AH14)</f>
        <v>14287.0633700843</v>
      </c>
      <c r="BB14" s="1" t="n">
        <f aca="false">AY14+BA14</f>
        <v>19777.7889594871</v>
      </c>
      <c r="BC14" s="1" t="n">
        <f aca="false">AJ14+Assumptions!$B$28/POWER(1+Assumptions!$B$2,AH14)+(-PV(Assumptions!$B$2,AH14,R14+T14+AI14))</f>
        <v>22296.02886328</v>
      </c>
      <c r="BD14" s="1" t="n">
        <f aca="false">MIN(Z14,AG14,AZ14)</f>
        <v>19777.7889594871</v>
      </c>
      <c r="BE14" s="0" t="str">
        <f aca="false">IF(BD14=Z14,"Cash",IF(BD14=AG14,"Loan","Lease then buy out"))</f>
        <v>Lease then buy out</v>
      </c>
    </row>
    <row r="15" customFormat="false" ht="15" hidden="false" customHeight="false" outlineLevel="0" collapsed="false">
      <c r="A15" s="0" t="s">
        <v>58</v>
      </c>
      <c r="B15" s="0" t="s">
        <v>59</v>
      </c>
      <c r="C15" s="0" t="n">
        <v>3</v>
      </c>
      <c r="D15" s="0" t="n">
        <v>0</v>
      </c>
      <c r="E15" s="0" t="n">
        <v>38969</v>
      </c>
      <c r="F15" s="0" t="n">
        <v>1102</v>
      </c>
      <c r="G15" s="0" t="n">
        <v>735</v>
      </c>
      <c r="H15" s="0" t="n">
        <v>36</v>
      </c>
      <c r="I15" s="0" t="n">
        <v>50</v>
      </c>
      <c r="J15" s="0" t="n">
        <v>14127</v>
      </c>
      <c r="K15" s="0" t="s">
        <v>35</v>
      </c>
      <c r="L15" s="0" t="n">
        <v>115</v>
      </c>
      <c r="M15" s="0" t="n">
        <f aca="false">MAX(Assumptions!$B$33,Assumptions!$B$30-Assumptions!$B$31*(H15-36)-IF(D15=1,Assumptions!$B$32,0))</f>
        <v>0.57</v>
      </c>
      <c r="N15" s="0" t="n">
        <f aca="false">E15*M15</f>
        <v>22212.33</v>
      </c>
      <c r="O15" s="0" t="n">
        <f aca="false">1-POWER(J15/E15,0.1)</f>
        <v>0.0964897821548884</v>
      </c>
      <c r="P15" s="0" t="n">
        <f aca="false">E15*(1+Assumptions!$B$8)+Assumptions!$B$9</f>
        <v>41317.45</v>
      </c>
      <c r="Q15" s="0" t="n">
        <f aca="false">IF(D15=1,Assumptions!$B$14*33.7,Assumptions!$B$13)</f>
        <v>3.1</v>
      </c>
      <c r="R15" s="0" t="n">
        <f aca="false">(Assumptions!$B$10/I15)*Q15</f>
        <v>620</v>
      </c>
      <c r="S15" s="0" t="n">
        <f aca="false">Assumptions!$B$15+Assumptions!$B$17</f>
        <v>1750</v>
      </c>
      <c r="T15" s="0" t="n">
        <f aca="false">Assumptions!$B$15*(1+Assumptions!$B$16)+Assumptions!$B$17</f>
        <v>1942</v>
      </c>
      <c r="U15" s="0" t="n">
        <f aca="false">IF(OR(C15&gt;Assumptions!$B$11,Assumptions!$B$10*C15&gt;Assumptions!$B$12),1,0)</f>
        <v>0</v>
      </c>
      <c r="V15" s="0" t="n">
        <f aca="false">MAX(0.6,1-Assumptions!$B$22*MAX(0,(Assumptions!$B$10-10000)*C15)/10000)</f>
        <v>1</v>
      </c>
      <c r="W15" s="0" t="n">
        <f aca="false">IF(U15=1,Assumptions!$B$23,MAX(Assumptions!$B$23,E15*POWER(1-O15,C15)*V15))</f>
        <v>28742.0980421897</v>
      </c>
      <c r="X15" s="0" t="n">
        <f aca="true">SUMPRODUCT((ROW(INDIRECT("1:"&amp;C15))&gt;Assumptions!$B$20)*Assumptions!$B$18*POWER(Assumptions!$B$19,ROW(INDIRECT("1:"&amp;C15))-Assumptions!$B$20-1)*IF(ROW(INDIRECT("1:"&amp;C15))&gt;Assumptions!$B$11,Assumptions!$B$21,1)/POWER(1+Assumptions!$B$2,ROW(INDIRECT("1:"&amp;C15))))</f>
        <v>0</v>
      </c>
      <c r="Y15" s="1" t="n">
        <f aca="false">-PV(Assumptions!$B$2,C15,R15+S15)+X15</f>
        <v>6490.55090332796</v>
      </c>
      <c r="Z15" s="1" t="n">
        <f aca="false">P15+Y15-(W15/POWER(1+Assumptions!$B$2,C15))</f>
        <v>22765.4582912353</v>
      </c>
      <c r="AA15" s="0" t="n">
        <f aca="false">P15*Assumptions!$B$7</f>
        <v>4131.745</v>
      </c>
      <c r="AB15" s="0" t="n">
        <f aca="false">P15-AA15</f>
        <v>37185.705</v>
      </c>
      <c r="AC15" s="1" t="n">
        <f aca="false">PMT(Assumptions!$B$5,Assumptions!$B$6,-AB15)</f>
        <v>736.146097417472</v>
      </c>
      <c r="AD15" s="0" t="n">
        <f aca="false">C15*12</f>
        <v>36</v>
      </c>
      <c r="AE15" s="0" t="n">
        <f aca="false">MIN(Assumptions!$B$6,AD15)</f>
        <v>36</v>
      </c>
      <c r="AF15" s="1" t="n">
        <f aca="false">IF(AD15&gt;=Assumptions!$B$6,0,-PV(Assumptions!$B$5,Assumptions!$B$6-AD15,AC15))</f>
        <v>16443.5611122547</v>
      </c>
      <c r="AG15" s="1" t="n">
        <f aca="false">AA15+(-PV(Assumptions!$B$3,AE15,AC15))+Y15-((W15-AF15)/POWER(1+Assumptions!$B$2,C15))</f>
        <v>24579.5327007201</v>
      </c>
      <c r="AH15" s="0" t="n">
        <f aca="false">H15/12</f>
        <v>3</v>
      </c>
      <c r="AI15" s="0" t="n">
        <f aca="false">MAX(0,Assumptions!$B$10-Assumptions!$B$24)*Assumptions!$B$25</f>
        <v>0</v>
      </c>
      <c r="AJ15" s="1" t="n">
        <f aca="false">F15+Assumptions!$B$27+(-PV(Assumptions!$B$3,H15-1,G15))</f>
        <v>25797.8323710709</v>
      </c>
      <c r="AK15" s="0" t="n">
        <f aca="false">CEILING(C15/AH15,1)</f>
        <v>1</v>
      </c>
      <c r="AL15" s="0" t="n">
        <f aca="false">(1+Assumptions!$B$26)/POWER(1+Assumptions!$B$2,AH15)</f>
        <v>0.906135810905202</v>
      </c>
      <c r="AM15" s="0" t="n">
        <f aca="false">IF(ABS(1-AL15)&lt;0.000000000001,AK15,(1-POWER(AL15,AK15))/(1-AL15))</f>
        <v>1</v>
      </c>
      <c r="AN15" s="0" t="n">
        <f aca="false">1/POWER(1+Assumptions!$B$2,AH15)</f>
        <v>0.871284433562695</v>
      </c>
      <c r="AO15" s="0" t="n">
        <f aca="false">IF(ABS(1-AN15)&lt;0.000000000001,AK15,AN15*(1-POWER(AN15,AK15))/(1-AN15))</f>
        <v>0.871284433562695</v>
      </c>
      <c r="AP15" s="1" t="n">
        <f aca="false">AJ15*AM15+Assumptions!$B$28*AO15+(-PV(Assumptions!$B$2,C15,R15+T15+AI15))</f>
        <v>33162.7138298657</v>
      </c>
      <c r="AQ15" s="0" t="n">
        <f aca="false">N15*(1+Assumptions!$B$8)</f>
        <v>23322.9465</v>
      </c>
      <c r="AR15" s="1" t="n">
        <f aca="false">PMT(Assumptions!$B$5,Assumptions!$B$29,-AQ15)</f>
        <v>720.038246882842</v>
      </c>
      <c r="AS15" s="0" t="n">
        <f aca="false">MAX(0,AD15-H15)</f>
        <v>0</v>
      </c>
      <c r="AT15" s="0" t="n">
        <f aca="false">MIN(Assumptions!$B$29,AS15)</f>
        <v>0</v>
      </c>
      <c r="AU15" s="1" t="n">
        <f aca="false">IF(AS15&gt;=Assumptions!$B$29,0,-PV(Assumptions!$B$5,Assumptions!$B$29-AS15,AR15))</f>
        <v>23322.9464999999</v>
      </c>
      <c r="AV15" s="1" t="n">
        <f aca="false">(-PV(Assumptions!$B$3,AT15,AR15))/POWER(1+Assumptions!$B$2,AH15)</f>
        <v>0</v>
      </c>
      <c r="AW15" s="1" t="n">
        <f aca="false">-PV(Assumptions!$B$2,AH15,T15+AI15)</f>
        <v>5318.41766002654</v>
      </c>
      <c r="AX15" s="1" t="n">
        <f aca="false">(-PV(Assumptions!$B$2,C15,S15))-(-PV(Assumptions!$B$2,AH15,S15))</f>
        <v>0</v>
      </c>
      <c r="AY15" s="1" t="n">
        <f aca="false">AJ15+AW15+AX15+(-PV(Assumptions!$B$2,C15,R15))+X15-(W15/POWER(1+Assumptions!$B$2,C15))</f>
        <v>7771.65744434794</v>
      </c>
      <c r="AZ15" s="1" t="n">
        <f aca="false">AY15+AV15+(AU15/POWER(1+Assumptions!$B$2,C15))</f>
        <v>28092.5776746134</v>
      </c>
      <c r="BA15" s="0" t="n">
        <f aca="false">AQ15/POWER(1+Assumptions!$B$2,AH15)</f>
        <v>20320.9202302655</v>
      </c>
      <c r="BB15" s="1" t="n">
        <f aca="false">AY15+BA15</f>
        <v>28092.5776746135</v>
      </c>
      <c r="BC15" s="1" t="n">
        <f aca="false">AJ15+Assumptions!$B$28/POWER(1+Assumptions!$B$2,AH15)+(-PV(Assumptions!$B$2,AH15,R15+T15+AI15))</f>
        <v>33162.7138298657</v>
      </c>
      <c r="BD15" s="1" t="n">
        <f aca="false">MIN(Z15,AG15,AZ15)</f>
        <v>22765.4582912353</v>
      </c>
      <c r="BE15" s="0" t="str">
        <f aca="false">IF(BD15=Z15,"Cash",IF(BD15=AG15,"Loan","Lease then buy out"))</f>
        <v>Cash</v>
      </c>
    </row>
    <row r="16" customFormat="false" ht="15" hidden="false" customHeight="false" outlineLevel="0" collapsed="false">
      <c r="A16" s="0" t="s">
        <v>58</v>
      </c>
      <c r="B16" s="0" t="s">
        <v>61</v>
      </c>
      <c r="C16" s="0" t="n">
        <v>3</v>
      </c>
      <c r="D16" s="0" t="n">
        <v>0</v>
      </c>
      <c r="E16" s="0" t="n">
        <v>31190</v>
      </c>
      <c r="F16" s="0" t="n">
        <v>1168</v>
      </c>
      <c r="G16" s="0" t="n">
        <v>418</v>
      </c>
      <c r="H16" s="0" t="n">
        <v>36</v>
      </c>
      <c r="I16" s="0" t="n">
        <v>30</v>
      </c>
      <c r="J16" s="0" t="n">
        <v>11145</v>
      </c>
      <c r="K16" s="0" t="s">
        <v>35</v>
      </c>
      <c r="L16" s="0" t="n">
        <v>149.3</v>
      </c>
      <c r="M16" s="0" t="n">
        <f aca="false">MAX(Assumptions!$B$33,Assumptions!$B$30-Assumptions!$B$31*(H16-36)-IF(D16=1,Assumptions!$B$32,0))</f>
        <v>0.57</v>
      </c>
      <c r="N16" s="0" t="n">
        <f aca="false">E16*M16</f>
        <v>17778.3</v>
      </c>
      <c r="O16" s="0" t="n">
        <f aca="false">1-POWER(J16/E16,0.1)</f>
        <v>0.0977924236267148</v>
      </c>
      <c r="P16" s="0" t="n">
        <f aca="false">E16*(1+Assumptions!$B$8)+Assumptions!$B$9</f>
        <v>33149.5</v>
      </c>
      <c r="Q16" s="0" t="n">
        <f aca="false">IF(D16=1,Assumptions!$B$14*33.7,Assumptions!$B$13)</f>
        <v>3.1</v>
      </c>
      <c r="R16" s="0" t="n">
        <f aca="false">(Assumptions!$B$10/I16)*Q16</f>
        <v>1033.33333333333</v>
      </c>
      <c r="S16" s="0" t="n">
        <f aca="false">Assumptions!$B$15+Assumptions!$B$17</f>
        <v>1750</v>
      </c>
      <c r="T16" s="0" t="n">
        <f aca="false">Assumptions!$B$15*(1+Assumptions!$B$16)+Assumptions!$B$17</f>
        <v>1942</v>
      </c>
      <c r="U16" s="0" t="n">
        <f aca="false">IF(OR(C16&gt;Assumptions!$B$11,Assumptions!$B$10*C16&gt;Assumptions!$B$12),1,0)</f>
        <v>0</v>
      </c>
      <c r="V16" s="0" t="n">
        <f aca="false">MAX(0.6,1-Assumptions!$B$22*MAX(0,(Assumptions!$B$10-10000)*C16)/10000)</f>
        <v>1</v>
      </c>
      <c r="W16" s="0" t="n">
        <f aca="false">IF(U16=1,Assumptions!$B$23,MAX(Assumptions!$B$23,E16*POWER(1-O16,C16)*V16))</f>
        <v>22905.2367048473</v>
      </c>
      <c r="X16" s="0" t="n">
        <f aca="true">SUMPRODUCT((ROW(INDIRECT("1:"&amp;C16))&gt;Assumptions!$B$20)*Assumptions!$B$18*POWER(Assumptions!$B$19,ROW(INDIRECT("1:"&amp;C16))-Assumptions!$B$20-1)*IF(ROW(INDIRECT("1:"&amp;C16))&gt;Assumptions!$B$11,Assumptions!$B$21,1)/POWER(1+Assumptions!$B$2,ROW(INDIRECT("1:"&amp;C16))))</f>
        <v>0</v>
      </c>
      <c r="Y16" s="1" t="n">
        <f aca="false">-PV(Assumptions!$B$2,C16,R16+S16)+X16</f>
        <v>7622.51758689008</v>
      </c>
      <c r="Z16" s="1" t="n">
        <f aca="false">P16+Y16-(W16/POWER(1+Assumptions!$B$2,C16))</f>
        <v>20815.0413988877</v>
      </c>
      <c r="AA16" s="0" t="n">
        <f aca="false">P16*Assumptions!$B$7</f>
        <v>3314.95</v>
      </c>
      <c r="AB16" s="0" t="n">
        <f aca="false">P16-AA16</f>
        <v>29834.55</v>
      </c>
      <c r="AC16" s="1" t="n">
        <f aca="false">PMT(Assumptions!$B$5,Assumptions!$B$6,-AB16)</f>
        <v>590.619098137482</v>
      </c>
      <c r="AD16" s="0" t="n">
        <f aca="false">C16*12</f>
        <v>36</v>
      </c>
      <c r="AE16" s="0" t="n">
        <f aca="false">MIN(Assumptions!$B$6,AD16)</f>
        <v>36</v>
      </c>
      <c r="AF16" s="1" t="n">
        <f aca="false">IF(AD16&gt;=Assumptions!$B$6,0,-PV(Assumptions!$B$5,Assumptions!$B$6-AD16,AC16))</f>
        <v>13192.8719969574</v>
      </c>
      <c r="AG16" s="1" t="n">
        <f aca="false">AA16+(-PV(Assumptions!$B$3,AE16,AC16))+Y16-((W16-AF16)/POWER(1+Assumptions!$B$2,C16))</f>
        <v>22270.4956836323</v>
      </c>
      <c r="AH16" s="0" t="n">
        <f aca="false">H16/12</f>
        <v>3</v>
      </c>
      <c r="AI16" s="0" t="n">
        <f aca="false">MAX(0,Assumptions!$B$10-Assumptions!$B$24)*Assumptions!$B$25</f>
        <v>0</v>
      </c>
      <c r="AJ16" s="1" t="n">
        <f aca="false">F16+Assumptions!$B$27+(-PV(Assumptions!$B$3,H16-1,G16))</f>
        <v>15514.6094300784</v>
      </c>
      <c r="AK16" s="0" t="n">
        <f aca="false">CEILING(C16/AH16,1)</f>
        <v>1</v>
      </c>
      <c r="AL16" s="0" t="n">
        <f aca="false">(1+Assumptions!$B$26)/POWER(1+Assumptions!$B$2,AH16)</f>
        <v>0.906135810905202</v>
      </c>
      <c r="AM16" s="0" t="n">
        <f aca="false">IF(ABS(1-AL16)&lt;0.000000000001,AK16,(1-POWER(AL16,AK16))/(1-AL16))</f>
        <v>1</v>
      </c>
      <c r="AN16" s="0" t="n">
        <f aca="false">1/POWER(1+Assumptions!$B$2,AH16)</f>
        <v>0.871284433562695</v>
      </c>
      <c r="AO16" s="0" t="n">
        <f aca="false">IF(ABS(1-AN16)&lt;0.000000000001,AK16,AN16*(1-POWER(AN16,AK16))/(1-AN16))</f>
        <v>0.871284433562695</v>
      </c>
      <c r="AP16" s="1" t="n">
        <f aca="false">AJ16*AM16+Assumptions!$B$28*AO16+(-PV(Assumptions!$B$2,C16,R16+T16+AI16))</f>
        <v>24011.4575724353</v>
      </c>
      <c r="AQ16" s="0" t="n">
        <f aca="false">N16*(1+Assumptions!$B$8)</f>
        <v>18667.215</v>
      </c>
      <c r="AR16" s="1" t="n">
        <f aca="false">PMT(Assumptions!$B$5,Assumptions!$B$29,-AQ16)</f>
        <v>576.304060157455</v>
      </c>
      <c r="AS16" s="0" t="n">
        <f aca="false">MAX(0,AD16-H16)</f>
        <v>0</v>
      </c>
      <c r="AT16" s="0" t="n">
        <f aca="false">MIN(Assumptions!$B$29,AS16)</f>
        <v>0</v>
      </c>
      <c r="AU16" s="1" t="n">
        <f aca="false">IF(AS16&gt;=Assumptions!$B$29,0,-PV(Assumptions!$B$5,Assumptions!$B$29-AS16,AR16))</f>
        <v>18667.2149999999</v>
      </c>
      <c r="AV16" s="1" t="n">
        <f aca="false">(-PV(Assumptions!$B$3,AT16,AR16))/POWER(1+Assumptions!$B$2,AH16)</f>
        <v>0</v>
      </c>
      <c r="AW16" s="1" t="n">
        <f aca="false">-PV(Assumptions!$B$2,AH16,T16+AI16)</f>
        <v>5318.41766002654</v>
      </c>
      <c r="AX16" s="1" t="n">
        <f aca="false">(-PV(Assumptions!$B$2,C16,S16))-(-PV(Assumptions!$B$2,AH16,S16))</f>
        <v>0</v>
      </c>
      <c r="AY16" s="1" t="n">
        <f aca="false">AJ16+AW16+AX16+(-PV(Assumptions!$B$2,C16,R16))+X16-(W16/POWER(1+Assumptions!$B$2,C16))</f>
        <v>3705.96761100792</v>
      </c>
      <c r="AZ16" s="1" t="n">
        <f aca="false">AY16+AV16+(AU16/POWER(1+Assumptions!$B$2,C16))</f>
        <v>19970.4214584759</v>
      </c>
      <c r="BA16" s="0" t="n">
        <f aca="false">AQ16/POWER(1+Assumptions!$B$2,AH16)</f>
        <v>16264.453847468</v>
      </c>
      <c r="BB16" s="1" t="n">
        <f aca="false">AY16+BA16</f>
        <v>19970.421458476</v>
      </c>
      <c r="BC16" s="1" t="n">
        <f aca="false">AJ16+Assumptions!$B$28/POWER(1+Assumptions!$B$2,AH16)+(-PV(Assumptions!$B$2,AH16,R16+T16+AI16))</f>
        <v>24011.4575724353</v>
      </c>
      <c r="BD16" s="1" t="n">
        <f aca="false">MIN(Z16,AG16,AZ16)</f>
        <v>19970.4214584759</v>
      </c>
      <c r="BE16" s="0" t="str">
        <f aca="false">IF(BD16=Z16,"Cash",IF(BD16=AG16,"Loan","Lease then buy out"))</f>
        <v>Lease then buy out</v>
      </c>
    </row>
    <row r="17" customFormat="false" ht="15" hidden="false" customHeight="false" outlineLevel="0" collapsed="false">
      <c r="A17" s="0" t="s">
        <v>46</v>
      </c>
      <c r="B17" s="0" t="s">
        <v>62</v>
      </c>
      <c r="C17" s="0" t="n">
        <v>3</v>
      </c>
      <c r="D17" s="0" t="n">
        <v>0</v>
      </c>
      <c r="E17" s="0" t="n">
        <v>29919</v>
      </c>
      <c r="F17" s="0" t="n">
        <v>2853</v>
      </c>
      <c r="G17" s="0" t="n">
        <v>353</v>
      </c>
      <c r="H17" s="0" t="n">
        <v>36</v>
      </c>
      <c r="I17" s="0" t="n">
        <v>25</v>
      </c>
      <c r="J17" s="0" t="n">
        <v>8341</v>
      </c>
      <c r="K17" s="0" t="s">
        <v>35</v>
      </c>
      <c r="L17" s="0" t="n">
        <v>163.7</v>
      </c>
      <c r="M17" s="0" t="n">
        <f aca="false">MAX(Assumptions!$B$33,Assumptions!$B$30-Assumptions!$B$31*(H17-36)-IF(D17=1,Assumptions!$B$32,0))</f>
        <v>0.57</v>
      </c>
      <c r="N17" s="0" t="n">
        <f aca="false">E17*M17</f>
        <v>17053.83</v>
      </c>
      <c r="O17" s="0" t="n">
        <f aca="false">1-POWER(J17/E17,0.1)</f>
        <v>0.119909962746428</v>
      </c>
      <c r="P17" s="0" t="n">
        <f aca="false">E17*(1+Assumptions!$B$8)+Assumptions!$B$9</f>
        <v>31814.95</v>
      </c>
      <c r="Q17" s="0" t="n">
        <f aca="false">IF(D17=1,Assumptions!$B$14*33.7,Assumptions!$B$13)</f>
        <v>3.1</v>
      </c>
      <c r="R17" s="0" t="n">
        <f aca="false">(Assumptions!$B$10/I17)*Q17</f>
        <v>1240</v>
      </c>
      <c r="S17" s="0" t="n">
        <f aca="false">Assumptions!$B$15+Assumptions!$B$17</f>
        <v>1750</v>
      </c>
      <c r="T17" s="0" t="n">
        <f aca="false">Assumptions!$B$15*(1+Assumptions!$B$16)+Assumptions!$B$17</f>
        <v>1942</v>
      </c>
      <c r="U17" s="0" t="n">
        <f aca="false">IF(OR(C17&gt;Assumptions!$B$11,Assumptions!$B$10*C17&gt;Assumptions!$B$12),1,0)</f>
        <v>0</v>
      </c>
      <c r="V17" s="0" t="n">
        <f aca="false">MAX(0.6,1-Assumptions!$B$22*MAX(0,(Assumptions!$B$10-10000)*C17)/10000)</f>
        <v>1</v>
      </c>
      <c r="W17" s="0" t="n">
        <f aca="false">IF(U17=1,Assumptions!$B$23,MAX(Assumptions!$B$23,E17*POWER(1-O17,C17)*V17))</f>
        <v>20395.2197016261</v>
      </c>
      <c r="X17" s="0" t="n">
        <f aca="true">SUMPRODUCT((ROW(INDIRECT("1:"&amp;C17))&gt;Assumptions!$B$20)*Assumptions!$B$18*POWER(Assumptions!$B$19,ROW(INDIRECT("1:"&amp;C17))-Assumptions!$B$20-1)*IF(ROW(INDIRECT("1:"&amp;C17))&gt;Assumptions!$B$11,Assumptions!$B$21,1)/POWER(1+Assumptions!$B$2,ROW(INDIRECT("1:"&amp;C17))))</f>
        <v>0</v>
      </c>
      <c r="Y17" s="1" t="n">
        <f aca="false">-PV(Assumptions!$B$2,C17,R17+S17)+X17</f>
        <v>8188.50092867114</v>
      </c>
      <c r="Z17" s="1" t="n">
        <f aca="false">P17+Y17-(W17/POWER(1+Assumptions!$B$2,C17))</f>
        <v>22233.4134835531</v>
      </c>
      <c r="AA17" s="0" t="n">
        <f aca="false">P17*Assumptions!$B$7</f>
        <v>3181.495</v>
      </c>
      <c r="AB17" s="0" t="n">
        <f aca="false">P17-AA17</f>
        <v>28633.455</v>
      </c>
      <c r="AC17" s="1" t="n">
        <f aca="false">PMT(Assumptions!$B$5,Assumptions!$B$6,-AB17)</f>
        <v>566.841643955085</v>
      </c>
      <c r="AD17" s="0" t="n">
        <f aca="false">C17*12</f>
        <v>36</v>
      </c>
      <c r="AE17" s="0" t="n">
        <f aca="false">MIN(Assumptions!$B$6,AD17)</f>
        <v>36</v>
      </c>
      <c r="AF17" s="1" t="n">
        <f aca="false">IF(AD17&gt;=Assumptions!$B$6,0,-PV(Assumptions!$B$5,Assumptions!$B$6-AD17,AC17))</f>
        <v>12661.7464196926</v>
      </c>
      <c r="AG17" s="1" t="n">
        <f aca="false">AA17+(-PV(Assumptions!$B$3,AE17,AC17))+Y17-((W17-AF17)/POWER(1+Assumptions!$B$2,C17))</f>
        <v>23630.2733244688</v>
      </c>
      <c r="AH17" s="0" t="n">
        <f aca="false">H17/12</f>
        <v>3</v>
      </c>
      <c r="AI17" s="0" t="n">
        <f aca="false">MAX(0,Assumptions!$B$10-Assumptions!$B$24)*Assumptions!$B$25</f>
        <v>0</v>
      </c>
      <c r="AJ17" s="1" t="n">
        <f aca="false">F17+Assumptions!$B$27+(-PV(Assumptions!$B$3,H17-1,G17))</f>
        <v>15077.5290163103</v>
      </c>
      <c r="AK17" s="0" t="n">
        <f aca="false">CEILING(C17/AH17,1)</f>
        <v>1</v>
      </c>
      <c r="AL17" s="0" t="n">
        <f aca="false">(1+Assumptions!$B$26)/POWER(1+Assumptions!$B$2,AH17)</f>
        <v>0.906135810905202</v>
      </c>
      <c r="AM17" s="0" t="n">
        <f aca="false">IF(ABS(1-AL17)&lt;0.000000000001,AK17,(1-POWER(AL17,AK17))/(1-AL17))</f>
        <v>1</v>
      </c>
      <c r="AN17" s="0" t="n">
        <f aca="false">1/POWER(1+Assumptions!$B$2,AH17)</f>
        <v>0.871284433562695</v>
      </c>
      <c r="AO17" s="0" t="n">
        <f aca="false">IF(ABS(1-AN17)&lt;0.000000000001,AK17,AN17*(1-POWER(AN17,AK17))/(1-AN17))</f>
        <v>0.871284433562695</v>
      </c>
      <c r="AP17" s="1" t="n">
        <f aca="false">AJ17*AM17+Assumptions!$B$28*AO17+(-PV(Assumptions!$B$2,C17,R17+T17+AI17))</f>
        <v>24140.3605004482</v>
      </c>
      <c r="AQ17" s="0" t="n">
        <f aca="false">N17*(1+Assumptions!$B$8)</f>
        <v>17906.5215</v>
      </c>
      <c r="AR17" s="1" t="n">
        <f aca="false">PMT(Assumptions!$B$5,Assumptions!$B$29,-AQ17)</f>
        <v>552.819531126992</v>
      </c>
      <c r="AS17" s="0" t="n">
        <f aca="false">MAX(0,AD17-H17)</f>
        <v>0</v>
      </c>
      <c r="AT17" s="0" t="n">
        <f aca="false">MIN(Assumptions!$B$29,AS17)</f>
        <v>0</v>
      </c>
      <c r="AU17" s="1" t="n">
        <f aca="false">IF(AS17&gt;=Assumptions!$B$29,0,-PV(Assumptions!$B$5,Assumptions!$B$29-AS17,AR17))</f>
        <v>17906.5214999999</v>
      </c>
      <c r="AV17" s="1" t="n">
        <f aca="false">(-PV(Assumptions!$B$3,AT17,AR17))/POWER(1+Assumptions!$B$2,AH17)</f>
        <v>0</v>
      </c>
      <c r="AW17" s="1" t="n">
        <f aca="false">-PV(Assumptions!$B$2,AH17,T17+AI17)</f>
        <v>5318.41766002654</v>
      </c>
      <c r="AX17" s="1" t="n">
        <f aca="false">(-PV(Assumptions!$B$2,C17,S17))-(-PV(Assumptions!$B$2,AH17,S17))</f>
        <v>0</v>
      </c>
      <c r="AY17" s="1" t="n">
        <f aca="false">AJ17+AW17+AX17+(-PV(Assumptions!$B$2,C17,R17))+X17-(W17/POWER(1+Assumptions!$B$2,C17))</f>
        <v>6021.80928190515</v>
      </c>
      <c r="AZ17" s="1" t="n">
        <f aca="false">AY17+AV17+(AU17/POWER(1+Assumptions!$B$2,C17))</f>
        <v>21623.4827241108</v>
      </c>
      <c r="BA17" s="0" t="n">
        <f aca="false">AQ17/POWER(1+Assumptions!$B$2,AH17)</f>
        <v>15601.6734422057</v>
      </c>
      <c r="BB17" s="1" t="n">
        <f aca="false">AY17+BA17</f>
        <v>21623.4827241109</v>
      </c>
      <c r="BC17" s="1" t="n">
        <f aca="false">AJ17+Assumptions!$B$28/POWER(1+Assumptions!$B$2,AH17)+(-PV(Assumptions!$B$2,AH17,R17+T17+AI17))</f>
        <v>24140.3605004482</v>
      </c>
      <c r="BD17" s="1" t="n">
        <f aca="false">MIN(Z17,AG17,AZ17)</f>
        <v>21623.4827241108</v>
      </c>
      <c r="BE17" s="0" t="str">
        <f aca="false">IF(BD17=Z17,"Cash",IF(BD17=AG17,"Loan","Lease then buy out"))</f>
        <v>Lease then buy out</v>
      </c>
    </row>
    <row r="18" customFormat="false" ht="15" hidden="false" customHeight="false" outlineLevel="0" collapsed="false">
      <c r="A18" s="0" t="s">
        <v>63</v>
      </c>
      <c r="B18" s="0" t="s">
        <v>64</v>
      </c>
      <c r="C18" s="0" t="n">
        <v>3</v>
      </c>
      <c r="D18" s="0" t="n">
        <v>0</v>
      </c>
      <c r="E18" s="0" t="n">
        <v>31835</v>
      </c>
      <c r="F18" s="0" t="n">
        <v>3436</v>
      </c>
      <c r="G18" s="0" t="n">
        <v>436</v>
      </c>
      <c r="H18" s="0" t="n">
        <v>36</v>
      </c>
      <c r="I18" s="0" t="n">
        <v>25</v>
      </c>
      <c r="J18" s="0" t="n">
        <v>13252</v>
      </c>
      <c r="K18" s="0" t="s">
        <v>35</v>
      </c>
      <c r="L18" s="0" t="n">
        <v>162.4</v>
      </c>
      <c r="M18" s="0" t="n">
        <f aca="false">MAX(Assumptions!$B$33,Assumptions!$B$30-Assumptions!$B$31*(H18-36)-IF(D18=1,Assumptions!$B$32,0))</f>
        <v>0.57</v>
      </c>
      <c r="N18" s="0" t="n">
        <f aca="false">E18*M18</f>
        <v>18145.95</v>
      </c>
      <c r="O18" s="0" t="n">
        <f aca="false">1-POWER(J18/E18,0.1)</f>
        <v>0.0839110233119911</v>
      </c>
      <c r="P18" s="0" t="n">
        <f aca="false">E18*(1+Assumptions!$B$8)+Assumptions!$B$9</f>
        <v>33826.75</v>
      </c>
      <c r="Q18" s="0" t="n">
        <f aca="false">IF(D18=1,Assumptions!$B$14*33.7,Assumptions!$B$13)</f>
        <v>3.1</v>
      </c>
      <c r="R18" s="0" t="n">
        <f aca="false">(Assumptions!$B$10/I18)*Q18</f>
        <v>1240</v>
      </c>
      <c r="S18" s="0" t="n">
        <f aca="false">Assumptions!$B$15+Assumptions!$B$17</f>
        <v>1750</v>
      </c>
      <c r="T18" s="0" t="n">
        <f aca="false">Assumptions!$B$15*(1+Assumptions!$B$16)+Assumptions!$B$17</f>
        <v>1942</v>
      </c>
      <c r="U18" s="0" t="n">
        <f aca="false">IF(OR(C18&gt;Assumptions!$B$11,Assumptions!$B$10*C18&gt;Assumptions!$B$12),1,0)</f>
        <v>0</v>
      </c>
      <c r="V18" s="0" t="n">
        <f aca="false">MAX(0.6,1-Assumptions!$B$22*MAX(0,(Assumptions!$B$10-10000)*C18)/10000)</f>
        <v>1</v>
      </c>
      <c r="W18" s="0" t="n">
        <f aca="false">IF(U18=1,Assumptions!$B$23,MAX(Assumptions!$B$23,E18*POWER(1-O18,C18)*V18))</f>
        <v>24474.7253025368</v>
      </c>
      <c r="X18" s="0" t="n">
        <f aca="true">SUMPRODUCT((ROW(INDIRECT("1:"&amp;C18))&gt;Assumptions!$B$20)*Assumptions!$B$18*POWER(Assumptions!$B$19,ROW(INDIRECT("1:"&amp;C18))-Assumptions!$B$20-1)*IF(ROW(INDIRECT("1:"&amp;C18))&gt;Assumptions!$B$11,Assumptions!$B$21,1)/POWER(1+Assumptions!$B$2,ROW(INDIRECT("1:"&amp;C18))))</f>
        <v>0</v>
      </c>
      <c r="Y18" s="1" t="n">
        <f aca="false">-PV(Assumptions!$B$2,C18,R18+S18)+X18</f>
        <v>8188.50092867114</v>
      </c>
      <c r="Z18" s="1" t="n">
        <f aca="false">P18+Y18-(W18/POWER(1+Assumptions!$B$2,C18))</f>
        <v>20690.8037568478</v>
      </c>
      <c r="AA18" s="0" t="n">
        <f aca="false">P18*Assumptions!$B$7</f>
        <v>3382.675</v>
      </c>
      <c r="AB18" s="0" t="n">
        <f aca="false">P18-AA18</f>
        <v>30444.075</v>
      </c>
      <c r="AC18" s="1" t="n">
        <f aca="false">PMT(Assumptions!$B$5,Assumptions!$B$6,-AB18)</f>
        <v>602.68554813563</v>
      </c>
      <c r="AD18" s="0" t="n">
        <f aca="false">C18*12</f>
        <v>36</v>
      </c>
      <c r="AE18" s="0" t="n">
        <f aca="false">MIN(Assumptions!$B$6,AD18)</f>
        <v>36</v>
      </c>
      <c r="AF18" s="1" t="n">
        <f aca="false">IF(AD18&gt;=Assumptions!$B$6,0,-PV(Assumptions!$B$5,Assumptions!$B$6-AD18,AC18))</f>
        <v>13462.4046463168</v>
      </c>
      <c r="AG18" s="1" t="n">
        <f aca="false">AA18+(-PV(Assumptions!$B$3,AE18,AC18))+Y18-((W18-AF18)/POWER(1+Assumptions!$B$2,C18))</f>
        <v>22175.9932235511</v>
      </c>
      <c r="AH18" s="0" t="n">
        <f aca="false">H18/12</f>
        <v>3</v>
      </c>
      <c r="AI18" s="0" t="n">
        <f aca="false">MAX(0,Assumptions!$B$10-Assumptions!$B$24)*Assumptions!$B$25</f>
        <v>0</v>
      </c>
      <c r="AJ18" s="1" t="n">
        <f aca="false">F18+Assumptions!$B$27+(-PV(Assumptions!$B$3,H18-1,G18))</f>
        <v>18370.2624677373</v>
      </c>
      <c r="AK18" s="0" t="n">
        <f aca="false">CEILING(C18/AH18,1)</f>
        <v>1</v>
      </c>
      <c r="AL18" s="0" t="n">
        <f aca="false">(1+Assumptions!$B$26)/POWER(1+Assumptions!$B$2,AH18)</f>
        <v>0.906135810905202</v>
      </c>
      <c r="AM18" s="0" t="n">
        <f aca="false">IF(ABS(1-AL18)&lt;0.000000000001,AK18,(1-POWER(AL18,AK18))/(1-AL18))</f>
        <v>1</v>
      </c>
      <c r="AN18" s="0" t="n">
        <f aca="false">1/POWER(1+Assumptions!$B$2,AH18)</f>
        <v>0.871284433562695</v>
      </c>
      <c r="AO18" s="0" t="n">
        <f aca="false">IF(ABS(1-AN18)&lt;0.000000000001,AK18,AN18*(1-POWER(AN18,AK18))/(1-AN18))</f>
        <v>0.871284433562695</v>
      </c>
      <c r="AP18" s="1" t="n">
        <f aca="false">AJ18*AM18+Assumptions!$B$28*AO18+(-PV(Assumptions!$B$2,C18,R18+T18+AI18))</f>
        <v>27433.0939518753</v>
      </c>
      <c r="AQ18" s="0" t="n">
        <f aca="false">N18*(1+Assumptions!$B$8)</f>
        <v>19053.2475</v>
      </c>
      <c r="AR18" s="1" t="n">
        <f aca="false">PMT(Assumptions!$B$5,Assumptions!$B$29,-AQ18)</f>
        <v>588.221858131214</v>
      </c>
      <c r="AS18" s="0" t="n">
        <f aca="false">MAX(0,AD18-H18)</f>
        <v>0</v>
      </c>
      <c r="AT18" s="0" t="n">
        <f aca="false">MIN(Assumptions!$B$29,AS18)</f>
        <v>0</v>
      </c>
      <c r="AU18" s="1" t="n">
        <f aca="false">IF(AS18&gt;=Assumptions!$B$29,0,-PV(Assumptions!$B$5,Assumptions!$B$29-AS18,AR18))</f>
        <v>19053.2474999999</v>
      </c>
      <c r="AV18" s="1" t="n">
        <f aca="false">(-PV(Assumptions!$B$3,AT18,AR18))/POWER(1+Assumptions!$B$2,AH18)</f>
        <v>0</v>
      </c>
      <c r="AW18" s="1" t="n">
        <f aca="false">-PV(Assumptions!$B$2,AH18,T18+AI18)</f>
        <v>5318.41766002654</v>
      </c>
      <c r="AX18" s="1" t="n">
        <f aca="false">(-PV(Assumptions!$B$2,C18,S18))-(-PV(Assumptions!$B$2,AH18,S18))</f>
        <v>0</v>
      </c>
      <c r="AY18" s="1" t="n">
        <f aca="false">AJ18+AW18+AX18+(-PV(Assumptions!$B$2,C18,R18))+X18-(W18/POWER(1+Assumptions!$B$2,C18))</f>
        <v>5760.1330066269</v>
      </c>
      <c r="AZ18" s="1" t="n">
        <f aca="false">AY18+AV18+(AU18/POWER(1+Assumptions!$B$2,C18))</f>
        <v>22360.9309621941</v>
      </c>
      <c r="BA18" s="0" t="n">
        <f aca="false">AQ18/POWER(1+Assumptions!$B$2,AH18)</f>
        <v>16600.7979555673</v>
      </c>
      <c r="BB18" s="1" t="n">
        <f aca="false">AY18+BA18</f>
        <v>22360.9309621942</v>
      </c>
      <c r="BC18" s="1" t="n">
        <f aca="false">AJ18+Assumptions!$B$28/POWER(1+Assumptions!$B$2,AH18)+(-PV(Assumptions!$B$2,AH18,R18+T18+AI18))</f>
        <v>27433.0939518753</v>
      </c>
      <c r="BD18" s="1" t="n">
        <f aca="false">MIN(Z18,AG18,AZ18)</f>
        <v>20690.8037568478</v>
      </c>
      <c r="BE18" s="0" t="str">
        <f aca="false">IF(BD18=Z18,"Cash",IF(BD18=AG18,"Loan","Lease then buy out"))</f>
        <v>Cash</v>
      </c>
    </row>
    <row r="19" customFormat="false" ht="15" hidden="false" customHeight="false" outlineLevel="0" collapsed="false">
      <c r="A19" s="0" t="s">
        <v>58</v>
      </c>
      <c r="B19" s="0" t="s">
        <v>65</v>
      </c>
      <c r="C19" s="0" t="n">
        <v>3</v>
      </c>
      <c r="D19" s="0" t="n">
        <v>0</v>
      </c>
      <c r="E19" s="0" t="n">
        <v>43095</v>
      </c>
      <c r="F19" s="0" t="n">
        <v>5170</v>
      </c>
      <c r="G19" s="0" t="n">
        <v>426</v>
      </c>
      <c r="H19" s="0" t="n">
        <v>36</v>
      </c>
      <c r="I19" s="0" t="n">
        <v>39</v>
      </c>
      <c r="J19" s="0" t="n">
        <v>15817</v>
      </c>
      <c r="K19" s="0" t="s">
        <v>35</v>
      </c>
      <c r="L19" s="0" t="n">
        <v>168.7</v>
      </c>
      <c r="M19" s="0" t="n">
        <f aca="false">MAX(Assumptions!$B$33,Assumptions!$B$30-Assumptions!$B$31*(H19-36)-IF(D19=1,Assumptions!$B$32,0))</f>
        <v>0.57</v>
      </c>
      <c r="N19" s="0" t="n">
        <f aca="false">E19*M19</f>
        <v>24564.15</v>
      </c>
      <c r="O19" s="0" t="n">
        <f aca="false">1-POWER(J19/E19,0.1)</f>
        <v>0.0953726309793821</v>
      </c>
      <c r="P19" s="0" t="n">
        <f aca="false">E19*(1+Assumptions!$B$8)+Assumptions!$B$9</f>
        <v>45649.75</v>
      </c>
      <c r="Q19" s="0" t="n">
        <f aca="false">IF(D19=1,Assumptions!$B$14*33.7,Assumptions!$B$13)</f>
        <v>3.1</v>
      </c>
      <c r="R19" s="0" t="n">
        <f aca="false">(Assumptions!$B$10/I19)*Q19</f>
        <v>794.871794871795</v>
      </c>
      <c r="S19" s="0" t="n">
        <f aca="false">Assumptions!$B$15+Assumptions!$B$17</f>
        <v>1750</v>
      </c>
      <c r="T19" s="0" t="n">
        <f aca="false">Assumptions!$B$15*(1+Assumptions!$B$16)+Assumptions!$B$17</f>
        <v>1942</v>
      </c>
      <c r="U19" s="0" t="n">
        <f aca="false">IF(OR(C19&gt;Assumptions!$B$11,Assumptions!$B$10*C19&gt;Assumptions!$B$12),1,0)</f>
        <v>0</v>
      </c>
      <c r="V19" s="0" t="n">
        <f aca="false">MAX(0.6,1-Assumptions!$B$22*MAX(0,(Assumptions!$B$10-10000)*C19)/10000)</f>
        <v>1</v>
      </c>
      <c r="W19" s="0" t="n">
        <f aca="false">IF(U19=1,Assumptions!$B$23,MAX(Assumptions!$B$23,E19*POWER(1-O19,C19)*V19))</f>
        <v>31903.3327757988</v>
      </c>
      <c r="X19" s="0" t="n">
        <f aca="true">SUMPRODUCT((ROW(INDIRECT("1:"&amp;C19))&gt;Assumptions!$B$20)*Assumptions!$B$18*POWER(Assumptions!$B$19,ROW(INDIRECT("1:"&amp;C19))-Assumptions!$B$20-1)*IF(ROW(INDIRECT("1:"&amp;C19))&gt;Assumptions!$B$11,Assumptions!$B$21,1)/POWER(1+Assumptions!$B$2,ROW(INDIRECT("1:"&amp;C19))))</f>
        <v>0</v>
      </c>
      <c r="Y19" s="1" t="n">
        <f aca="false">-PV(Assumptions!$B$2,C19,R19+S19)+X19</f>
        <v>6969.45988483501</v>
      </c>
      <c r="Z19" s="1" t="n">
        <f aca="false">P19+Y19-(W19/POWER(1+Assumptions!$B$2,C19))</f>
        <v>24822.332658511</v>
      </c>
      <c r="AA19" s="0" t="n">
        <f aca="false">P19*Assumptions!$B$7</f>
        <v>4564.975</v>
      </c>
      <c r="AB19" s="0" t="n">
        <f aca="false">P19-AA19</f>
        <v>41084.775</v>
      </c>
      <c r="AC19" s="1" t="n">
        <f aca="false">PMT(Assumptions!$B$5,Assumptions!$B$6,-AB19)</f>
        <v>813.333962056788</v>
      </c>
      <c r="AD19" s="0" t="n">
        <f aca="false">C19*12</f>
        <v>36</v>
      </c>
      <c r="AE19" s="0" t="n">
        <f aca="false">MIN(Assumptions!$B$6,AD19)</f>
        <v>36</v>
      </c>
      <c r="AF19" s="1" t="n">
        <f aca="false">IF(AD19&gt;=Assumptions!$B$6,0,-PV(Assumptions!$B$5,Assumptions!$B$6-AD19,AC19))</f>
        <v>18167.7343080018</v>
      </c>
      <c r="AG19" s="1" t="n">
        <f aca="false">AA19+(-PV(Assumptions!$B$3,AE19,AC19))+Y19-((W19-AF19)/POWER(1+Assumptions!$B$2,C19))</f>
        <v>26826.6200304176</v>
      </c>
      <c r="AH19" s="0" t="n">
        <f aca="false">H19/12</f>
        <v>3</v>
      </c>
      <c r="AI19" s="0" t="n">
        <f aca="false">MAX(0,Assumptions!$B$10-Assumptions!$B$24)*Assumptions!$B$25</f>
        <v>0</v>
      </c>
      <c r="AJ19" s="1" t="n">
        <f aca="false">F19+Assumptions!$B$27+(-PV(Assumptions!$B$3,H19-1,G19))</f>
        <v>19777.7885579268</v>
      </c>
      <c r="AK19" s="0" t="n">
        <f aca="false">CEILING(C19/AH19,1)</f>
        <v>1</v>
      </c>
      <c r="AL19" s="0" t="n">
        <f aca="false">(1+Assumptions!$B$26)/POWER(1+Assumptions!$B$2,AH19)</f>
        <v>0.906135810905202</v>
      </c>
      <c r="AM19" s="0" t="n">
        <f aca="false">IF(ABS(1-AL19)&lt;0.000000000001,AK19,(1-POWER(AL19,AK19))/(1-AL19))</f>
        <v>1</v>
      </c>
      <c r="AN19" s="0" t="n">
        <f aca="false">1/POWER(1+Assumptions!$B$2,AH19)</f>
        <v>0.871284433562695</v>
      </c>
      <c r="AO19" s="0" t="n">
        <f aca="false">IF(ABS(1-AN19)&lt;0.000000000001,AK19,AN19*(1-POWER(AN19,AK19))/(1-AN19))</f>
        <v>0.871284433562695</v>
      </c>
      <c r="AP19" s="1" t="n">
        <f aca="false">AJ19*AM19+Assumptions!$B$28*AO19+(-PV(Assumptions!$B$2,C19,R19+T19+AI19))</f>
        <v>27621.5789982287</v>
      </c>
      <c r="AQ19" s="0" t="n">
        <f aca="false">N19*(1+Assumptions!$B$8)</f>
        <v>25792.3575</v>
      </c>
      <c r="AR19" s="1" t="n">
        <f aca="false">PMT(Assumptions!$B$5,Assumptions!$B$29,-AQ19)</f>
        <v>796.275199502581</v>
      </c>
      <c r="AS19" s="0" t="n">
        <f aca="false">MAX(0,AD19-H19)</f>
        <v>0</v>
      </c>
      <c r="AT19" s="0" t="n">
        <f aca="false">MIN(Assumptions!$B$29,AS19)</f>
        <v>0</v>
      </c>
      <c r="AU19" s="1" t="n">
        <f aca="false">IF(AS19&gt;=Assumptions!$B$29,0,-PV(Assumptions!$B$5,Assumptions!$B$29-AS19,AR19))</f>
        <v>25792.3574999999</v>
      </c>
      <c r="AV19" s="1" t="n">
        <f aca="false">(-PV(Assumptions!$B$3,AT19,AR19))/POWER(1+Assumptions!$B$2,AH19)</f>
        <v>0</v>
      </c>
      <c r="AW19" s="1" t="n">
        <f aca="false">-PV(Assumptions!$B$2,AH19,T19+AI19)</f>
        <v>5318.41766002654</v>
      </c>
      <c r="AX19" s="1" t="n">
        <f aca="false">(-PV(Assumptions!$B$2,C19,S19))-(-PV(Assumptions!$B$2,AH19,S19))</f>
        <v>0</v>
      </c>
      <c r="AY19" s="1" t="n">
        <f aca="false">AJ19+AW19+AX19+(-PV(Assumptions!$B$2,C19,R19))+X19-(W19/POWER(1+Assumptions!$B$2,C19))</f>
        <v>-523.812001520393</v>
      </c>
      <c r="AZ19" s="1" t="n">
        <f aca="false">AY19+AV19+(AU19/POWER(1+Assumptions!$B$2,C19))</f>
        <v>21948.6675931135</v>
      </c>
      <c r="BA19" s="0" t="n">
        <f aca="false">AQ19/POWER(1+Assumptions!$B$2,AH19)</f>
        <v>22472.479594634</v>
      </c>
      <c r="BB19" s="1" t="n">
        <f aca="false">AY19+BA19</f>
        <v>21948.6675931136</v>
      </c>
      <c r="BC19" s="1" t="n">
        <f aca="false">AJ19+Assumptions!$B$28/POWER(1+Assumptions!$B$2,AH19)+(-PV(Assumptions!$B$2,AH19,R19+T19+AI19))</f>
        <v>27621.5789982287</v>
      </c>
      <c r="BD19" s="1" t="n">
        <f aca="false">MIN(Z19,AG19,AZ19)</f>
        <v>21948.6675931135</v>
      </c>
      <c r="BE19" s="0" t="str">
        <f aca="false">IF(BD19=Z19,"Cash",IF(BD19=AG19,"Loan","Lease then buy out"))</f>
        <v>Lease then buy out</v>
      </c>
    </row>
    <row r="20" customFormat="false" ht="15" hidden="false" customHeight="false" outlineLevel="0" collapsed="false">
      <c r="A20" s="0" t="s">
        <v>41</v>
      </c>
      <c r="B20" s="0" t="s">
        <v>66</v>
      </c>
      <c r="C20" s="0" t="n">
        <v>3</v>
      </c>
      <c r="D20" s="0" t="n">
        <v>0</v>
      </c>
      <c r="E20" s="0" t="n">
        <v>40145</v>
      </c>
      <c r="F20" s="0" t="n">
        <v>3495</v>
      </c>
      <c r="G20" s="0" t="n">
        <v>495</v>
      </c>
      <c r="H20" s="0" t="n">
        <v>36</v>
      </c>
      <c r="I20" s="0" t="n">
        <v>33</v>
      </c>
      <c r="J20" s="0" t="n">
        <v>12091</v>
      </c>
      <c r="K20" s="0" t="s">
        <v>35</v>
      </c>
      <c r="L20" s="0" t="n">
        <v>169.1</v>
      </c>
      <c r="M20" s="0" t="n">
        <f aca="false">MAX(Assumptions!$B$33,Assumptions!$B$30-Assumptions!$B$31*(H20-36)-IF(D20=1,Assumptions!$B$32,0))</f>
        <v>0.57</v>
      </c>
      <c r="N20" s="0" t="n">
        <f aca="false">E20*M20</f>
        <v>22882.65</v>
      </c>
      <c r="O20" s="0" t="n">
        <f aca="false">1-POWER(J20/E20,0.1)</f>
        <v>0.113082802793248</v>
      </c>
      <c r="P20" s="0" t="n">
        <f aca="false">E20*(1+Assumptions!$B$8)+Assumptions!$B$9</f>
        <v>42552.25</v>
      </c>
      <c r="Q20" s="0" t="n">
        <f aca="false">IF(D20=1,Assumptions!$B$14*33.7,Assumptions!$B$13)</f>
        <v>3.1</v>
      </c>
      <c r="R20" s="0" t="n">
        <f aca="false">(Assumptions!$B$10/I20)*Q20</f>
        <v>939.393939393939</v>
      </c>
      <c r="S20" s="0" t="n">
        <f aca="false">Assumptions!$B$15+Assumptions!$B$17</f>
        <v>1750</v>
      </c>
      <c r="T20" s="0" t="n">
        <f aca="false">Assumptions!$B$15*(1+Assumptions!$B$16)+Assumptions!$B$17</f>
        <v>1942</v>
      </c>
      <c r="U20" s="0" t="n">
        <f aca="false">IF(OR(C20&gt;Assumptions!$B$11,Assumptions!$B$10*C20&gt;Assumptions!$B$12),1,0)</f>
        <v>0</v>
      </c>
      <c r="V20" s="0" t="n">
        <f aca="false">MAX(0.6,1-Assumptions!$B$22*MAX(0,(Assumptions!$B$10-10000)*C20)/10000)</f>
        <v>1</v>
      </c>
      <c r="W20" s="0" t="n">
        <f aca="false">IF(U20=1,Assumptions!$B$23,MAX(Assumptions!$B$23,E20*POWER(1-O20,C20)*V20))</f>
        <v>28007.9092080398</v>
      </c>
      <c r="X20" s="0" t="n">
        <f aca="true">SUMPRODUCT((ROW(INDIRECT("1:"&amp;C20))&gt;Assumptions!$B$20)*Assumptions!$B$18*POWER(Assumptions!$B$19,ROW(INDIRECT("1:"&amp;C20))-Assumptions!$B$20-1)*IF(ROW(INDIRECT("1:"&amp;C20))&gt;Assumptions!$B$11,Assumptions!$B$21,1)/POWER(1+Assumptions!$B$2,ROW(INDIRECT("1:"&amp;C20))))</f>
        <v>0</v>
      </c>
      <c r="Y20" s="1" t="n">
        <f aca="false">-PV(Assumptions!$B$2,C20,R20+S20)+X20</f>
        <v>7365.25243153505</v>
      </c>
      <c r="Z20" s="1" t="n">
        <f aca="false">P20+Y20-(W20/POWER(1+Assumptions!$B$2,C20))</f>
        <v>25514.6471219328</v>
      </c>
      <c r="AA20" s="0" t="n">
        <f aca="false">P20*Assumptions!$B$7</f>
        <v>4255.225</v>
      </c>
      <c r="AB20" s="0" t="n">
        <f aca="false">P20-AA20</f>
        <v>38297.025</v>
      </c>
      <c r="AC20" s="1" t="n">
        <f aca="false">PMT(Assumptions!$B$5,Assumptions!$B$6,-AB20)</f>
        <v>758.146322530375</v>
      </c>
      <c r="AD20" s="0" t="n">
        <f aca="false">C20*12</f>
        <v>36</v>
      </c>
      <c r="AE20" s="0" t="n">
        <f aca="false">MIN(Assumptions!$B$6,AD20)</f>
        <v>36</v>
      </c>
      <c r="AF20" s="1" t="n">
        <f aca="false">IF(AD20&gt;=Assumptions!$B$6,0,-PV(Assumptions!$B$5,Assumptions!$B$6-AD20,AC20))</f>
        <v>16934.9880822495</v>
      </c>
      <c r="AG20" s="1" t="n">
        <f aca="false">AA20+(-PV(Assumptions!$B$3,AE20,AC20))+Y20-((W20-AF20)/POWER(1+Assumptions!$B$2,C20))</f>
        <v>27382.9363748029</v>
      </c>
      <c r="AH20" s="0" t="n">
        <f aca="false">H20/12</f>
        <v>3</v>
      </c>
      <c r="AI20" s="0" t="n">
        <f aca="false">MAX(0,Assumptions!$B$10-Assumptions!$B$24)*Assumptions!$B$25</f>
        <v>0</v>
      </c>
      <c r="AJ20" s="1" t="n">
        <f aca="false">F20+Assumptions!$B$27+(-PV(Assumptions!$B$3,H20-1,G20))</f>
        <v>20355.4585356192</v>
      </c>
      <c r="AK20" s="0" t="n">
        <f aca="false">CEILING(C20/AH20,1)</f>
        <v>1</v>
      </c>
      <c r="AL20" s="0" t="n">
        <f aca="false">(1+Assumptions!$B$26)/POWER(1+Assumptions!$B$2,AH20)</f>
        <v>0.906135810905202</v>
      </c>
      <c r="AM20" s="0" t="n">
        <f aca="false">IF(ABS(1-AL20)&lt;0.000000000001,AK20,(1-POWER(AL20,AK20))/(1-AL20))</f>
        <v>1</v>
      </c>
      <c r="AN20" s="0" t="n">
        <f aca="false">1/POWER(1+Assumptions!$B$2,AH20)</f>
        <v>0.871284433562695</v>
      </c>
      <c r="AO20" s="0" t="n">
        <f aca="false">IF(ABS(1-AN20)&lt;0.000000000001,AK20,AN20*(1-POWER(AN20,AK20))/(1-AN20))</f>
        <v>0.871284433562695</v>
      </c>
      <c r="AP20" s="1" t="n">
        <f aca="false">AJ20*AM20+Assumptions!$B$28*AO20+(-PV(Assumptions!$B$2,C20,R20+T20+AI20))</f>
        <v>28595.0415226211</v>
      </c>
      <c r="AQ20" s="0" t="n">
        <f aca="false">N20*(1+Assumptions!$B$8)</f>
        <v>24026.7825</v>
      </c>
      <c r="AR20" s="1" t="n">
        <f aca="false">PMT(Assumptions!$B$5,Assumptions!$B$29,-AQ20)</f>
        <v>741.767441328022</v>
      </c>
      <c r="AS20" s="0" t="n">
        <f aca="false">MAX(0,AD20-H20)</f>
        <v>0</v>
      </c>
      <c r="AT20" s="0" t="n">
        <f aca="false">MIN(Assumptions!$B$29,AS20)</f>
        <v>0</v>
      </c>
      <c r="AU20" s="1" t="n">
        <f aca="false">IF(AS20&gt;=Assumptions!$B$29,0,-PV(Assumptions!$B$5,Assumptions!$B$29-AS20,AR20))</f>
        <v>24026.7824999999</v>
      </c>
      <c r="AV20" s="1" t="n">
        <f aca="false">(-PV(Assumptions!$B$3,AT20,AR20))/POWER(1+Assumptions!$B$2,AH20)</f>
        <v>0</v>
      </c>
      <c r="AW20" s="1" t="n">
        <f aca="false">-PV(Assumptions!$B$2,AH20,T20+AI20)</f>
        <v>5318.41766002654</v>
      </c>
      <c r="AX20" s="1" t="n">
        <f aca="false">(-PV(Assumptions!$B$2,C20,S20))-(-PV(Assumptions!$B$2,AH20,S20))</f>
        <v>0</v>
      </c>
      <c r="AY20" s="1" t="n">
        <f aca="false">AJ20+AW20+AX20+(-PV(Assumptions!$B$2,C20,R20))+X20-(W20/POWER(1+Assumptions!$B$2,C20))</f>
        <v>3843.67243959371</v>
      </c>
      <c r="AZ20" s="1" t="n">
        <f aca="false">AY20+AV20+(AU20/POWER(1+Assumptions!$B$2,C20))</f>
        <v>24777.8340204402</v>
      </c>
      <c r="BA20" s="0" t="n">
        <f aca="false">AQ20/POWER(1+Assumptions!$B$2,AH20)</f>
        <v>20934.1615808466</v>
      </c>
      <c r="BB20" s="1" t="n">
        <f aca="false">AY20+BA20</f>
        <v>24777.8340204403</v>
      </c>
      <c r="BC20" s="1" t="n">
        <f aca="false">AJ20+Assumptions!$B$28/POWER(1+Assumptions!$B$2,AH20)+(-PV(Assumptions!$B$2,AH20,R20+T20+AI20))</f>
        <v>28595.0415226211</v>
      </c>
      <c r="BD20" s="1" t="n">
        <f aca="false">MIN(Z20,AG20,AZ20)</f>
        <v>24777.8340204402</v>
      </c>
      <c r="BE20" s="0" t="str">
        <f aca="false">IF(BD20=Z20,"Cash",IF(BD20=AG20,"Loan","Lease then buy out"))</f>
        <v>Lease then buy out</v>
      </c>
    </row>
    <row r="21" customFormat="false" ht="15" hidden="false" customHeight="false" outlineLevel="0" collapsed="false">
      <c r="A21" s="0" t="s">
        <v>67</v>
      </c>
      <c r="B21" s="0" t="s">
        <v>68</v>
      </c>
      <c r="C21" s="0" t="n">
        <v>3</v>
      </c>
      <c r="D21" s="0" t="n">
        <v>0</v>
      </c>
      <c r="E21" s="0" t="n">
        <v>32340</v>
      </c>
      <c r="F21" s="0" t="n">
        <v>3000</v>
      </c>
      <c r="G21" s="0" t="n">
        <v>329</v>
      </c>
      <c r="H21" s="0" t="n">
        <v>36</v>
      </c>
      <c r="I21" s="0" t="n">
        <v>25</v>
      </c>
      <c r="J21" s="0" t="n">
        <v>10543</v>
      </c>
      <c r="K21" s="0" t="s">
        <v>35</v>
      </c>
      <c r="L21" s="0" t="n">
        <v>156.3</v>
      </c>
      <c r="M21" s="0" t="n">
        <f aca="false">MAX(Assumptions!$B$33,Assumptions!$B$30-Assumptions!$B$31*(H21-36)-IF(D21=1,Assumptions!$B$32,0))</f>
        <v>0.57</v>
      </c>
      <c r="N21" s="0" t="n">
        <f aca="false">E21*M21</f>
        <v>18433.8</v>
      </c>
      <c r="O21" s="0" t="n">
        <f aca="false">1-POWER(J21/E21,0.1)</f>
        <v>0.106031082361688</v>
      </c>
      <c r="P21" s="0" t="n">
        <f aca="false">E21*(1+Assumptions!$B$8)+Assumptions!$B$9</f>
        <v>34357</v>
      </c>
      <c r="Q21" s="0" t="n">
        <f aca="false">IF(D21=1,Assumptions!$B$14*33.7,Assumptions!$B$13)</f>
        <v>3.1</v>
      </c>
      <c r="R21" s="0" t="n">
        <f aca="false">(Assumptions!$B$10/I21)*Q21</f>
        <v>1240</v>
      </c>
      <c r="S21" s="0" t="n">
        <f aca="false">Assumptions!$B$15+Assumptions!$B$17</f>
        <v>1750</v>
      </c>
      <c r="T21" s="0" t="n">
        <f aca="false">Assumptions!$B$15*(1+Assumptions!$B$16)+Assumptions!$B$17</f>
        <v>1942</v>
      </c>
      <c r="U21" s="0" t="n">
        <f aca="false">IF(OR(C21&gt;Assumptions!$B$11,Assumptions!$B$10*C21&gt;Assumptions!$B$12),1,0)</f>
        <v>0</v>
      </c>
      <c r="V21" s="0" t="n">
        <f aca="false">MAX(0.6,1-Assumptions!$B$22*MAX(0,(Assumptions!$B$10-10000)*C21)/10000)</f>
        <v>1</v>
      </c>
      <c r="W21" s="0" t="n">
        <f aca="false">IF(U21=1,Assumptions!$B$23,MAX(Assumptions!$B$23,E21*POWER(1-O21,C21)*V21))</f>
        <v>23105.0691616976</v>
      </c>
      <c r="X21" s="0" t="n">
        <f aca="true">SUMPRODUCT((ROW(INDIRECT("1:"&amp;C21))&gt;Assumptions!$B$20)*Assumptions!$B$18*POWER(Assumptions!$B$19,ROW(INDIRECT("1:"&amp;C21))-Assumptions!$B$20-1)*IF(ROW(INDIRECT("1:"&amp;C21))&gt;Assumptions!$B$11,Assumptions!$B$21,1)/POWER(1+Assumptions!$B$2,ROW(INDIRECT("1:"&amp;C21))))</f>
        <v>0</v>
      </c>
      <c r="Y21" s="1" t="n">
        <f aca="false">-PV(Assumptions!$B$2,C21,R21+S21)+X21</f>
        <v>8188.50092867114</v>
      </c>
      <c r="Z21" s="1" t="n">
        <f aca="false">P21+Y21-(W21/POWER(1+Assumptions!$B$2,C21))</f>
        <v>22414.4138316946</v>
      </c>
      <c r="AA21" s="0" t="n">
        <f aca="false">P21*Assumptions!$B$7</f>
        <v>3435.7</v>
      </c>
      <c r="AB21" s="0" t="n">
        <f aca="false">P21-AA21</f>
        <v>30921.3</v>
      </c>
      <c r="AC21" s="1" t="n">
        <f aca="false">PMT(Assumptions!$B$5,Assumptions!$B$6,-AB21)</f>
        <v>612.132923715575</v>
      </c>
      <c r="AD21" s="0" t="n">
        <f aca="false">C21*12</f>
        <v>36</v>
      </c>
      <c r="AE21" s="0" t="n">
        <f aca="false">MIN(Assumptions!$B$6,AD21)</f>
        <v>36</v>
      </c>
      <c r="AF21" s="1" t="n">
        <f aca="false">IF(AD21&gt;=Assumptions!$B$6,0,-PV(Assumptions!$B$5,Assumptions!$B$6-AD21,AC21))</f>
        <v>13673.4340849625</v>
      </c>
      <c r="AG21" s="1" t="n">
        <f aca="false">AA21+(-PV(Assumptions!$B$3,AE21,AC21))+Y21-((W21-AF21)/POWER(1+Assumptions!$B$2,C21))</f>
        <v>23922.8843323347</v>
      </c>
      <c r="AH21" s="0" t="n">
        <f aca="false">H21/12</f>
        <v>3</v>
      </c>
      <c r="AI21" s="0" t="n">
        <f aca="false">MAX(0,Assumptions!$B$10-Assumptions!$B$24)*Assumptions!$B$25</f>
        <v>0</v>
      </c>
      <c r="AJ21" s="1" t="n">
        <f aca="false">F21+Assumptions!$B$27+(-PV(Assumptions!$B$3,H21-1,G21))</f>
        <v>14440.9916327651</v>
      </c>
      <c r="AK21" s="0" t="n">
        <f aca="false">CEILING(C21/AH21,1)</f>
        <v>1</v>
      </c>
      <c r="AL21" s="0" t="n">
        <f aca="false">(1+Assumptions!$B$26)/POWER(1+Assumptions!$B$2,AH21)</f>
        <v>0.906135810905202</v>
      </c>
      <c r="AM21" s="0" t="n">
        <f aca="false">IF(ABS(1-AL21)&lt;0.000000000001,AK21,(1-POWER(AL21,AK21))/(1-AL21))</f>
        <v>1</v>
      </c>
      <c r="AN21" s="0" t="n">
        <f aca="false">1/POWER(1+Assumptions!$B$2,AH21)</f>
        <v>0.871284433562695</v>
      </c>
      <c r="AO21" s="0" t="n">
        <f aca="false">IF(ABS(1-AN21)&lt;0.000000000001,AK21,AN21*(1-POWER(AN21,AK21))/(1-AN21))</f>
        <v>0.871284433562695</v>
      </c>
      <c r="AP21" s="1" t="n">
        <f aca="false">AJ21*AM21+Assumptions!$B$28*AO21+(-PV(Assumptions!$B$2,C21,R21+T21+AI21))</f>
        <v>23503.8231169031</v>
      </c>
      <c r="AQ21" s="0" t="n">
        <f aca="false">N21*(1+Assumptions!$B$8)</f>
        <v>19355.49</v>
      </c>
      <c r="AR21" s="1" t="n">
        <f aca="false">PMT(Assumptions!$B$5,Assumptions!$B$29,-AQ21)</f>
        <v>597.552847242452</v>
      </c>
      <c r="AS21" s="0" t="n">
        <f aca="false">MAX(0,AD21-H21)</f>
        <v>0</v>
      </c>
      <c r="AT21" s="0" t="n">
        <f aca="false">MIN(Assumptions!$B$29,AS21)</f>
        <v>0</v>
      </c>
      <c r="AU21" s="1" t="n">
        <f aca="false">IF(AS21&gt;=Assumptions!$B$29,0,-PV(Assumptions!$B$5,Assumptions!$B$29-AS21,AR21))</f>
        <v>19355.4899999999</v>
      </c>
      <c r="AV21" s="1" t="n">
        <f aca="false">(-PV(Assumptions!$B$3,AT21,AR21))/POWER(1+Assumptions!$B$2,AH21)</f>
        <v>0</v>
      </c>
      <c r="AW21" s="1" t="n">
        <f aca="false">-PV(Assumptions!$B$2,AH21,T21+AI21)</f>
        <v>5318.41766002654</v>
      </c>
      <c r="AX21" s="1" t="n">
        <f aca="false">(-PV(Assumptions!$B$2,C21,S21))-(-PV(Assumptions!$B$2,AH21,S21))</f>
        <v>0</v>
      </c>
      <c r="AY21" s="1" t="n">
        <f aca="false">AJ21+AW21+AX21+(-PV(Assumptions!$B$2,C21,R21))+X21-(W21/POWER(1+Assumptions!$B$2,C21))</f>
        <v>3024.22224650145</v>
      </c>
      <c r="AZ21" s="1" t="n">
        <f aca="false">AY21+AV21+(AU21/POWER(1+Assumptions!$B$2,C21))</f>
        <v>19888.3593874798</v>
      </c>
      <c r="BA21" s="0" t="n">
        <f aca="false">AQ21/POWER(1+Assumptions!$B$2,AH21)</f>
        <v>16864.1371409784</v>
      </c>
      <c r="BB21" s="1" t="n">
        <f aca="false">AY21+BA21</f>
        <v>19888.3593874798</v>
      </c>
      <c r="BC21" s="1" t="n">
        <f aca="false">AJ21+Assumptions!$B$28/POWER(1+Assumptions!$B$2,AH21)+(-PV(Assumptions!$B$2,AH21,R21+T21+AI21))</f>
        <v>23503.8231169031</v>
      </c>
      <c r="BD21" s="1" t="n">
        <f aca="false">MIN(Z21,AG21,AZ21)</f>
        <v>19888.3593874798</v>
      </c>
      <c r="BE21" s="0" t="str">
        <f aca="false">IF(BD21=Z21,"Cash",IF(BD21=AG21,"Loan","Lease then buy out"))</f>
        <v>Lease then buy out</v>
      </c>
    </row>
    <row r="22" customFormat="false" ht="15" hidden="false" customHeight="false" outlineLevel="0" collapsed="false">
      <c r="A22" s="0" t="s">
        <v>31</v>
      </c>
      <c r="B22" s="0" t="s">
        <v>69</v>
      </c>
      <c r="C22" s="0" t="n">
        <v>3</v>
      </c>
      <c r="D22" s="0" t="n">
        <v>0</v>
      </c>
      <c r="E22" s="0" t="n">
        <v>36445</v>
      </c>
      <c r="F22" s="0" t="n">
        <v>4304</v>
      </c>
      <c r="G22" s="0" t="n">
        <v>305</v>
      </c>
      <c r="H22" s="0" t="n">
        <v>36</v>
      </c>
      <c r="I22" s="0" t="n">
        <v>26</v>
      </c>
      <c r="J22" s="0" t="n">
        <v>8790</v>
      </c>
      <c r="K22" s="0" t="s">
        <v>35</v>
      </c>
      <c r="L22" s="0" t="n">
        <v>175.6</v>
      </c>
      <c r="M22" s="0" t="n">
        <f aca="false">MAX(Assumptions!$B$33,Assumptions!$B$30-Assumptions!$B$31*(H22-36)-IF(D22=1,Assumptions!$B$32,0))</f>
        <v>0.57</v>
      </c>
      <c r="N22" s="0" t="n">
        <f aca="false">E22*M22</f>
        <v>20773.65</v>
      </c>
      <c r="O22" s="0" t="n">
        <f aca="false">1-POWER(J22/E22,0.1)</f>
        <v>0.132568693869928</v>
      </c>
      <c r="P22" s="0" t="n">
        <f aca="false">E22*(1+Assumptions!$B$8)+Assumptions!$B$9</f>
        <v>38667.25</v>
      </c>
      <c r="Q22" s="0" t="n">
        <f aca="false">IF(D22=1,Assumptions!$B$14*33.7,Assumptions!$B$13)</f>
        <v>3.1</v>
      </c>
      <c r="R22" s="0" t="n">
        <f aca="false">(Assumptions!$B$10/I22)*Q22</f>
        <v>1192.30769230769</v>
      </c>
      <c r="S22" s="0" t="n">
        <f aca="false">Assumptions!$B$15+Assumptions!$B$17</f>
        <v>1750</v>
      </c>
      <c r="T22" s="0" t="n">
        <f aca="false">Assumptions!$B$15*(1+Assumptions!$B$16)+Assumptions!$B$17</f>
        <v>1942</v>
      </c>
      <c r="U22" s="0" t="n">
        <f aca="false">IF(OR(C22&gt;Assumptions!$B$11,Assumptions!$B$10*C22&gt;Assumptions!$B$12),1,0)</f>
        <v>0</v>
      </c>
      <c r="V22" s="0" t="n">
        <f aca="false">MAX(0.6,1-Assumptions!$B$22*MAX(0,(Assumptions!$B$10-10000)*C22)/10000)</f>
        <v>1</v>
      </c>
      <c r="W22" s="0" t="n">
        <f aca="false">IF(U22=1,Assumptions!$B$23,MAX(Assumptions!$B$23,E22*POWER(1-O22,C22)*V22))</f>
        <v>23787.1948861355</v>
      </c>
      <c r="X22" s="0" t="n">
        <f aca="true">SUMPRODUCT((ROW(INDIRECT("1:"&amp;C22))&gt;Assumptions!$B$20)*Assumptions!$B$18*POWER(Assumptions!$B$19,ROW(INDIRECT("1:"&amp;C22))-Assumptions!$B$20-1)*IF(ROW(INDIRECT("1:"&amp;C22))&gt;Assumptions!$B$11,Assumptions!$B$21,1)/POWER(1+Assumptions!$B$2,ROW(INDIRECT("1:"&amp;C22))))</f>
        <v>0</v>
      </c>
      <c r="Y22" s="1" t="n">
        <f aca="false">-PV(Assumptions!$B$2,C22,R22+S22)+X22</f>
        <v>8057.88938826013</v>
      </c>
      <c r="Z22" s="1" t="n">
        <f aca="false">P22+Y22-(W22/POWER(1+Assumptions!$B$2,C22))</f>
        <v>25999.7267658481</v>
      </c>
      <c r="AA22" s="0" t="n">
        <f aca="false">P22*Assumptions!$B$7</f>
        <v>3866.725</v>
      </c>
      <c r="AB22" s="0" t="n">
        <f aca="false">P22-AA22</f>
        <v>34800.525</v>
      </c>
      <c r="AC22" s="1" t="n">
        <f aca="false">PMT(Assumptions!$B$5,Assumptions!$B$6,-AB22)</f>
        <v>688.927927192161</v>
      </c>
      <c r="AD22" s="0" t="n">
        <f aca="false">C22*12</f>
        <v>36</v>
      </c>
      <c r="AE22" s="0" t="n">
        <f aca="false">MIN(Assumptions!$B$6,AD22)</f>
        <v>36</v>
      </c>
      <c r="AF22" s="1" t="n">
        <f aca="false">IF(AD22&gt;=Assumptions!$B$6,0,-PV(Assumptions!$B$5,Assumptions!$B$6-AD22,AC22))</f>
        <v>15388.8317991025</v>
      </c>
      <c r="AG22" s="1" t="n">
        <f aca="false">AA22+(-PV(Assumptions!$B$3,AE22,AC22))+Y22-((W22-AF22)/POWER(1+Assumptions!$B$2,C22))</f>
        <v>27697.4421067066</v>
      </c>
      <c r="AH22" s="0" t="n">
        <f aca="false">H22/12</f>
        <v>3</v>
      </c>
      <c r="AI22" s="0" t="n">
        <f aca="false">MAX(0,Assumptions!$B$10-Assumptions!$B$24)*Assumptions!$B$25</f>
        <v>0</v>
      </c>
      <c r="AJ22" s="1" t="n">
        <f aca="false">F22+Assumptions!$B$27+(-PV(Assumptions!$B$3,H22-1,G22))</f>
        <v>14961.4542492199</v>
      </c>
      <c r="AK22" s="0" t="n">
        <f aca="false">CEILING(C22/AH22,1)</f>
        <v>1</v>
      </c>
      <c r="AL22" s="0" t="n">
        <f aca="false">(1+Assumptions!$B$26)/POWER(1+Assumptions!$B$2,AH22)</f>
        <v>0.906135810905202</v>
      </c>
      <c r="AM22" s="0" t="n">
        <f aca="false">IF(ABS(1-AL22)&lt;0.000000000001,AK22,(1-POWER(AL22,AK22))/(1-AL22))</f>
        <v>1</v>
      </c>
      <c r="AN22" s="0" t="n">
        <f aca="false">1/POWER(1+Assumptions!$B$2,AH22)</f>
        <v>0.871284433562695</v>
      </c>
      <c r="AO22" s="0" t="n">
        <f aca="false">IF(ABS(1-AN22)&lt;0.000000000001,AK22,AN22*(1-POWER(AN22,AK22))/(1-AN22))</f>
        <v>0.871284433562695</v>
      </c>
      <c r="AP22" s="1" t="n">
        <f aca="false">AJ22*AM22+Assumptions!$B$28*AO22+(-PV(Assumptions!$B$2,C22,R22+T22+AI22))</f>
        <v>23893.6741929469</v>
      </c>
      <c r="AQ22" s="0" t="n">
        <f aca="false">N22*(1+Assumptions!$B$8)</f>
        <v>21812.3325</v>
      </c>
      <c r="AR22" s="1" t="n">
        <f aca="false">PMT(Assumptions!$B$5,Assumptions!$B$29,-AQ22)</f>
        <v>673.401778532813</v>
      </c>
      <c r="AS22" s="0" t="n">
        <f aca="false">MAX(0,AD22-H22)</f>
        <v>0</v>
      </c>
      <c r="AT22" s="0" t="n">
        <f aca="false">MIN(Assumptions!$B$29,AS22)</f>
        <v>0</v>
      </c>
      <c r="AU22" s="1" t="n">
        <f aca="false">IF(AS22&gt;=Assumptions!$B$29,0,-PV(Assumptions!$B$5,Assumptions!$B$29-AS22,AR22))</f>
        <v>21812.3324999999</v>
      </c>
      <c r="AV22" s="1" t="n">
        <f aca="false">(-PV(Assumptions!$B$3,AT22,AR22))/POWER(1+Assumptions!$B$2,AH22)</f>
        <v>0</v>
      </c>
      <c r="AW22" s="1" t="n">
        <f aca="false">-PV(Assumptions!$B$2,AH22,T22+AI22)</f>
        <v>5318.41766002654</v>
      </c>
      <c r="AX22" s="1" t="n">
        <f aca="false">(-PV(Assumptions!$B$2,C22,S22))-(-PV(Assumptions!$B$2,AH22,S22))</f>
        <v>0</v>
      </c>
      <c r="AY22" s="1" t="n">
        <f aca="false">AJ22+AW22+AX22+(-PV(Assumptions!$B$2,C22,R22))+X22-(W22/POWER(1+Assumptions!$B$2,C22))</f>
        <v>2819.74779710978</v>
      </c>
      <c r="AZ22" s="1" t="n">
        <f aca="false">AY22+AV22+(AU22/POWER(1+Assumptions!$B$2,C22))</f>
        <v>21824.4935640533</v>
      </c>
      <c r="BA22" s="0" t="n">
        <f aca="false">AQ22/POWER(1+Assumptions!$B$2,AH22)</f>
        <v>19004.7457669437</v>
      </c>
      <c r="BB22" s="1" t="n">
        <f aca="false">AY22+BA22</f>
        <v>21824.4935640534</v>
      </c>
      <c r="BC22" s="1" t="n">
        <f aca="false">AJ22+Assumptions!$B$28/POWER(1+Assumptions!$B$2,AH22)+(-PV(Assumptions!$B$2,AH22,R22+T22+AI22))</f>
        <v>23893.6741929469</v>
      </c>
      <c r="BD22" s="1" t="n">
        <f aca="false">MIN(Z22,AG22,AZ22)</f>
        <v>21824.4935640533</v>
      </c>
      <c r="BE22" s="0" t="str">
        <f aca="false">IF(BD22=Z22,"Cash",IF(BD22=AG22,"Loan","Lease then buy out"))</f>
        <v>Lease then buy out</v>
      </c>
    </row>
    <row r="23" customFormat="false" ht="15" hidden="false" customHeight="false" outlineLevel="0" collapsed="false">
      <c r="A23" s="0" t="s">
        <v>31</v>
      </c>
      <c r="B23" s="0" t="s">
        <v>70</v>
      </c>
      <c r="C23" s="0" t="n">
        <v>3</v>
      </c>
      <c r="D23" s="0" t="n">
        <v>0</v>
      </c>
      <c r="E23" s="0" t="n">
        <v>37818</v>
      </c>
      <c r="F23" s="0" t="n">
        <v>2905</v>
      </c>
      <c r="G23" s="0" t="n">
        <v>405</v>
      </c>
      <c r="H23" s="0" t="n">
        <v>36</v>
      </c>
      <c r="I23" s="0" t="n">
        <v>26</v>
      </c>
      <c r="J23" s="0" t="n">
        <v>11849</v>
      </c>
      <c r="K23" s="0" t="s">
        <v>35</v>
      </c>
      <c r="L23" s="0" t="n">
        <v>171</v>
      </c>
      <c r="M23" s="0" t="n">
        <f aca="false">MAX(Assumptions!$B$33,Assumptions!$B$30-Assumptions!$B$31*(H23-36)-IF(D23=1,Assumptions!$B$32,0))</f>
        <v>0.57</v>
      </c>
      <c r="N23" s="0" t="n">
        <f aca="false">E23*M23</f>
        <v>21556.26</v>
      </c>
      <c r="O23" s="0" t="n">
        <f aca="false">1-POWER(J23/E23,0.1)</f>
        <v>0.109573012788338</v>
      </c>
      <c r="P23" s="0" t="n">
        <f aca="false">E23*(1+Assumptions!$B$8)+Assumptions!$B$9</f>
        <v>40108.9</v>
      </c>
      <c r="Q23" s="0" t="n">
        <f aca="false">IF(D23=1,Assumptions!$B$14*33.7,Assumptions!$B$13)</f>
        <v>3.1</v>
      </c>
      <c r="R23" s="0" t="n">
        <f aca="false">(Assumptions!$B$10/I23)*Q23</f>
        <v>1192.30769230769</v>
      </c>
      <c r="S23" s="0" t="n">
        <f aca="false">Assumptions!$B$15+Assumptions!$B$17</f>
        <v>1750</v>
      </c>
      <c r="T23" s="0" t="n">
        <f aca="false">Assumptions!$B$15*(1+Assumptions!$B$16)+Assumptions!$B$17</f>
        <v>1942</v>
      </c>
      <c r="U23" s="0" t="n">
        <f aca="false">IF(OR(C23&gt;Assumptions!$B$11,Assumptions!$B$10*C23&gt;Assumptions!$B$12),1,0)</f>
        <v>0</v>
      </c>
      <c r="V23" s="0" t="n">
        <f aca="false">MAX(0.6,1-Assumptions!$B$22*MAX(0,(Assumptions!$B$10-10000)*C23)/10000)</f>
        <v>1</v>
      </c>
      <c r="W23" s="0" t="n">
        <f aca="false">IF(U23=1,Assumptions!$B$23,MAX(Assumptions!$B$23,E23*POWER(1-O23,C23)*V23))</f>
        <v>26698.908077114</v>
      </c>
      <c r="X23" s="0" t="n">
        <f aca="true">SUMPRODUCT((ROW(INDIRECT("1:"&amp;C23))&gt;Assumptions!$B$20)*Assumptions!$B$18*POWER(Assumptions!$B$19,ROW(INDIRECT("1:"&amp;C23))-Assumptions!$B$20-1)*IF(ROW(INDIRECT("1:"&amp;C23))&gt;Assumptions!$B$11,Assumptions!$B$21,1)/POWER(1+Assumptions!$B$2,ROW(INDIRECT("1:"&amp;C23))))</f>
        <v>0</v>
      </c>
      <c r="Y23" s="1" t="n">
        <f aca="false">-PV(Assumptions!$B$2,C23,R23+S23)+X23</f>
        <v>8057.88938826013</v>
      </c>
      <c r="Z23" s="1" t="n">
        <f aca="false">P23+Y23-(W23/POWER(1+Assumptions!$B$2,C23))</f>
        <v>24904.4463875494</v>
      </c>
      <c r="AA23" s="0" t="n">
        <f aca="false">P23*Assumptions!$B$7</f>
        <v>4010.89</v>
      </c>
      <c r="AB23" s="0" t="n">
        <f aca="false">P23-AA23</f>
        <v>36098.01</v>
      </c>
      <c r="AC23" s="1" t="n">
        <f aca="false">PMT(Assumptions!$B$5,Assumptions!$B$6,-AB23)</f>
        <v>714.613564164963</v>
      </c>
      <c r="AD23" s="0" t="n">
        <f aca="false">C23*12</f>
        <v>36</v>
      </c>
      <c r="AE23" s="0" t="n">
        <f aca="false">MIN(Assumptions!$B$6,AD23)</f>
        <v>36</v>
      </c>
      <c r="AF23" s="1" t="n">
        <f aca="false">IF(AD23&gt;=Assumptions!$B$6,0,-PV(Assumptions!$B$5,Assumptions!$B$6-AD23,AC23))</f>
        <v>15962.581144173</v>
      </c>
      <c r="AG23" s="1" t="n">
        <f aca="false">AA23+(-PV(Assumptions!$B$3,AE23,AC23))+Y23-((W23-AF23)/POWER(1+Assumptions!$B$2,C23))</f>
        <v>26665.4584800814</v>
      </c>
      <c r="AH23" s="0" t="n">
        <f aca="false">H23/12</f>
        <v>3</v>
      </c>
      <c r="AI23" s="0" t="n">
        <f aca="false">MAX(0,Assumptions!$B$10-Assumptions!$B$24)*Assumptions!$B$25</f>
        <v>0</v>
      </c>
      <c r="AJ23" s="1" t="n">
        <f aca="false">F23+Assumptions!$B$27+(-PV(Assumptions!$B$3,H23-1,G23))</f>
        <v>16827.1933473248</v>
      </c>
      <c r="AK23" s="0" t="n">
        <f aca="false">CEILING(C23/AH23,1)</f>
        <v>1</v>
      </c>
      <c r="AL23" s="0" t="n">
        <f aca="false">(1+Assumptions!$B$26)/POWER(1+Assumptions!$B$2,AH23)</f>
        <v>0.906135810905202</v>
      </c>
      <c r="AM23" s="0" t="n">
        <f aca="false">IF(ABS(1-AL23)&lt;0.000000000001,AK23,(1-POWER(AL23,AK23))/(1-AL23))</f>
        <v>1</v>
      </c>
      <c r="AN23" s="0" t="n">
        <f aca="false">1/POWER(1+Assumptions!$B$2,AH23)</f>
        <v>0.871284433562695</v>
      </c>
      <c r="AO23" s="0" t="n">
        <f aca="false">IF(ABS(1-AN23)&lt;0.000000000001,AK23,AN23*(1-POWER(AN23,AK23))/(1-AN23))</f>
        <v>0.871284433562695</v>
      </c>
      <c r="AP23" s="1" t="n">
        <f aca="false">AJ23*AM23+Assumptions!$B$28*AO23+(-PV(Assumptions!$B$2,C23,R23+T23+AI23))</f>
        <v>25759.4132910518</v>
      </c>
      <c r="AQ23" s="0" t="n">
        <f aca="false">N23*(1+Assumptions!$B$8)</f>
        <v>22634.073</v>
      </c>
      <c r="AR23" s="1" t="n">
        <f aca="false">PMT(Assumptions!$B$5,Assumptions!$B$29,-AQ23)</f>
        <v>698.770982591684</v>
      </c>
      <c r="AS23" s="0" t="n">
        <f aca="false">MAX(0,AD23-H23)</f>
        <v>0</v>
      </c>
      <c r="AT23" s="0" t="n">
        <f aca="false">MIN(Assumptions!$B$29,AS23)</f>
        <v>0</v>
      </c>
      <c r="AU23" s="1" t="n">
        <f aca="false">IF(AS23&gt;=Assumptions!$B$29,0,-PV(Assumptions!$B$5,Assumptions!$B$29-AS23,AR23))</f>
        <v>22634.0729999999</v>
      </c>
      <c r="AV23" s="1" t="n">
        <f aca="false">(-PV(Assumptions!$B$3,AT23,AR23))/POWER(1+Assumptions!$B$2,AH23)</f>
        <v>0</v>
      </c>
      <c r="AW23" s="1" t="n">
        <f aca="false">-PV(Assumptions!$B$2,AH23,T23+AI23)</f>
        <v>5318.41766002654</v>
      </c>
      <c r="AX23" s="1" t="n">
        <f aca="false">(-PV(Assumptions!$B$2,C23,S23))-(-PV(Assumptions!$B$2,AH23,S23))</f>
        <v>0</v>
      </c>
      <c r="AY23" s="1" t="n">
        <f aca="false">AJ23+AW23+AX23+(-PV(Assumptions!$B$2,C23,R23))+X23-(W23/POWER(1+Assumptions!$B$2,C23))</f>
        <v>2148.55651691596</v>
      </c>
      <c r="AZ23" s="1" t="n">
        <f aca="false">AY23+AV23+(AU23/POWER(1+Assumptions!$B$2,C23))</f>
        <v>21869.2719899375</v>
      </c>
      <c r="BA23" s="0" t="n">
        <f aca="false">AQ23/POWER(1+Assumptions!$B$2,AH23)</f>
        <v>19720.7154730217</v>
      </c>
      <c r="BB23" s="1" t="n">
        <f aca="false">AY23+BA23</f>
        <v>21869.2719899376</v>
      </c>
      <c r="BC23" s="1" t="n">
        <f aca="false">AJ23+Assumptions!$B$28/POWER(1+Assumptions!$B$2,AH23)+(-PV(Assumptions!$B$2,AH23,R23+T23+AI23))</f>
        <v>25759.4132910518</v>
      </c>
      <c r="BD23" s="1" t="n">
        <f aca="false">MIN(Z23,AG23,AZ23)</f>
        <v>21869.2719899375</v>
      </c>
      <c r="BE23" s="0" t="str">
        <f aca="false">IF(BD23=Z23,"Cash",IF(BD23=AG23,"Loan","Lease then buy out"))</f>
        <v>Lease then buy out</v>
      </c>
    </row>
    <row r="24" customFormat="false" ht="15" hidden="false" customHeight="false" outlineLevel="0" collapsed="false">
      <c r="A24" s="0" t="s">
        <v>41</v>
      </c>
      <c r="B24" s="0" t="s">
        <v>71</v>
      </c>
      <c r="C24" s="0" t="n">
        <v>3</v>
      </c>
      <c r="D24" s="0" t="n">
        <v>0</v>
      </c>
      <c r="E24" s="0" t="n">
        <v>40446</v>
      </c>
      <c r="F24" s="0" t="n">
        <v>3089</v>
      </c>
      <c r="G24" s="0" t="n">
        <v>589</v>
      </c>
      <c r="H24" s="0" t="n">
        <v>36</v>
      </c>
      <c r="I24" s="0" t="n">
        <v>25</v>
      </c>
      <c r="J24" s="0" t="n">
        <v>11646</v>
      </c>
      <c r="K24" s="0" t="s">
        <v>35</v>
      </c>
      <c r="L24" s="0" t="n">
        <v>183.8</v>
      </c>
      <c r="M24" s="0" t="n">
        <f aca="false">MAX(Assumptions!$B$33,Assumptions!$B$30-Assumptions!$B$31*(H24-36)-IF(D24=1,Assumptions!$B$32,0))</f>
        <v>0.57</v>
      </c>
      <c r="N24" s="0" t="n">
        <f aca="false">E24*M24</f>
        <v>23054.22</v>
      </c>
      <c r="O24" s="0" t="n">
        <f aca="false">1-POWER(J24/E24,0.1)</f>
        <v>0.117062178132306</v>
      </c>
      <c r="P24" s="0" t="n">
        <f aca="false">E24*(1+Assumptions!$B$8)+Assumptions!$B$9</f>
        <v>42868.3</v>
      </c>
      <c r="Q24" s="0" t="n">
        <f aca="false">IF(D24=1,Assumptions!$B$14*33.7,Assumptions!$B$13)</f>
        <v>3.1</v>
      </c>
      <c r="R24" s="0" t="n">
        <f aca="false">(Assumptions!$B$10/I24)*Q24</f>
        <v>1240</v>
      </c>
      <c r="S24" s="0" t="n">
        <f aca="false">Assumptions!$B$15+Assumptions!$B$17</f>
        <v>1750</v>
      </c>
      <c r="T24" s="0" t="n">
        <f aca="false">Assumptions!$B$15*(1+Assumptions!$B$16)+Assumptions!$B$17</f>
        <v>1942</v>
      </c>
      <c r="U24" s="0" t="n">
        <f aca="false">IF(OR(C24&gt;Assumptions!$B$11,Assumptions!$B$10*C24&gt;Assumptions!$B$12),1,0)</f>
        <v>0</v>
      </c>
      <c r="V24" s="0" t="n">
        <f aca="false">MAX(0.6,1-Assumptions!$B$22*MAX(0,(Assumptions!$B$10-10000)*C24)/10000)</f>
        <v>1</v>
      </c>
      <c r="W24" s="0" t="n">
        <f aca="false">IF(U24=1,Assumptions!$B$23,MAX(Assumptions!$B$23,E24*POWER(1-O24,C24)*V24))</f>
        <v>27839.7890384055</v>
      </c>
      <c r="X24" s="0" t="n">
        <f aca="true">SUMPRODUCT((ROW(INDIRECT("1:"&amp;C24))&gt;Assumptions!$B$20)*Assumptions!$B$18*POWER(Assumptions!$B$19,ROW(INDIRECT("1:"&amp;C24))-Assumptions!$B$20-1)*IF(ROW(INDIRECT("1:"&amp;C24))&gt;Assumptions!$B$11,Assumptions!$B$21,1)/POWER(1+Assumptions!$B$2,ROW(INDIRECT("1:"&amp;C24))))</f>
        <v>0</v>
      </c>
      <c r="Y24" s="1" t="n">
        <f aca="false">-PV(Assumptions!$B$2,C24,R24+S24)+X24</f>
        <v>8188.50092867114</v>
      </c>
      <c r="Z24" s="1" t="n">
        <f aca="false">P24+Y24-(W24/POWER(1+Assumptions!$B$2,C24))</f>
        <v>26800.4261058391</v>
      </c>
      <c r="AA24" s="0" t="n">
        <f aca="false">P24*Assumptions!$B$7</f>
        <v>4286.83</v>
      </c>
      <c r="AB24" s="0" t="n">
        <f aca="false">P24-AA24</f>
        <v>38581.47</v>
      </c>
      <c r="AC24" s="1" t="n">
        <f aca="false">PMT(Assumptions!$B$5,Assumptions!$B$6,-AB24)</f>
        <v>763.777332529511</v>
      </c>
      <c r="AD24" s="0" t="n">
        <f aca="false">C24*12</f>
        <v>36</v>
      </c>
      <c r="AE24" s="0" t="n">
        <f aca="false">MIN(Assumptions!$B$6,AD24)</f>
        <v>36</v>
      </c>
      <c r="AF24" s="1" t="n">
        <f aca="false">IF(AD24&gt;=Assumptions!$B$6,0,-PV(Assumptions!$B$5,Assumptions!$B$6-AD24,AC24))</f>
        <v>17060.7699852839</v>
      </c>
      <c r="AG24" s="1" t="n">
        <f aca="false">AA24+(-PV(Assumptions!$B$3,AE24,AC24))+Y24-((W24-AF24)/POWER(1+Assumptions!$B$2,C24))</f>
        <v>28682.5917769567</v>
      </c>
      <c r="AH24" s="0" t="n">
        <f aca="false">H24/12</f>
        <v>3</v>
      </c>
      <c r="AI24" s="0" t="n">
        <f aca="false">MAX(0,Assumptions!$B$10-Assumptions!$B$24)*Assumptions!$B$25</f>
        <v>0</v>
      </c>
      <c r="AJ24" s="1" t="n">
        <f aca="false">F24+Assumptions!$B$27+(-PV(Assumptions!$B$3,H24-1,G24))</f>
        <v>23018.3132878378</v>
      </c>
      <c r="AK24" s="0" t="n">
        <f aca="false">CEILING(C24/AH24,1)</f>
        <v>1</v>
      </c>
      <c r="AL24" s="0" t="n">
        <f aca="false">(1+Assumptions!$B$26)/POWER(1+Assumptions!$B$2,AH24)</f>
        <v>0.906135810905202</v>
      </c>
      <c r="AM24" s="0" t="n">
        <f aca="false">IF(ABS(1-AL24)&lt;0.000000000001,AK24,(1-POWER(AL24,AK24))/(1-AL24))</f>
        <v>1</v>
      </c>
      <c r="AN24" s="0" t="n">
        <f aca="false">1/POWER(1+Assumptions!$B$2,AH24)</f>
        <v>0.871284433562695</v>
      </c>
      <c r="AO24" s="0" t="n">
        <f aca="false">IF(ABS(1-AN24)&lt;0.000000000001,AK24,AN24*(1-POWER(AN24,AK24))/(1-AN24))</f>
        <v>0.871284433562695</v>
      </c>
      <c r="AP24" s="1" t="n">
        <f aca="false">AJ24*AM24+Assumptions!$B$28*AO24+(-PV(Assumptions!$B$2,C24,R24+T24+AI24))</f>
        <v>32081.1447719758</v>
      </c>
      <c r="AQ24" s="0" t="n">
        <f aca="false">N24*(1+Assumptions!$B$8)</f>
        <v>24206.931</v>
      </c>
      <c r="AR24" s="1" t="n">
        <f aca="false">PMT(Assumptions!$B$5,Assumptions!$B$29,-AQ24)</f>
        <v>747.329080382443</v>
      </c>
      <c r="AS24" s="0" t="n">
        <f aca="false">MAX(0,AD24-H24)</f>
        <v>0</v>
      </c>
      <c r="AT24" s="0" t="n">
        <f aca="false">MIN(Assumptions!$B$29,AS24)</f>
        <v>0</v>
      </c>
      <c r="AU24" s="1" t="n">
        <f aca="false">IF(AS24&gt;=Assumptions!$B$29,0,-PV(Assumptions!$B$5,Assumptions!$B$29-AS24,AR24))</f>
        <v>24206.9309999999</v>
      </c>
      <c r="AV24" s="1" t="n">
        <f aca="false">(-PV(Assumptions!$B$3,AT24,AR24))/POWER(1+Assumptions!$B$2,AH24)</f>
        <v>0</v>
      </c>
      <c r="AW24" s="1" t="n">
        <f aca="false">-PV(Assumptions!$B$2,AH24,T24+AI24)</f>
        <v>5318.41766002654</v>
      </c>
      <c r="AX24" s="1" t="n">
        <f aca="false">(-PV(Assumptions!$B$2,C24,S24))-(-PV(Assumptions!$B$2,AH24,S24))</f>
        <v>0</v>
      </c>
      <c r="AY24" s="1" t="n">
        <f aca="false">AJ24+AW24+AX24+(-PV(Assumptions!$B$2,C24,R24))+X24-(W24/POWER(1+Assumptions!$B$2,C24))</f>
        <v>7476.25617571863</v>
      </c>
      <c r="AZ24" s="1" t="n">
        <f aca="false">AY24+AV24+(AU24/POWER(1+Assumptions!$B$2,C24))</f>
        <v>28567.3783403448</v>
      </c>
      <c r="BA24" s="0" t="n">
        <f aca="false">AQ24/POWER(1+Assumptions!$B$2,AH24)</f>
        <v>21091.1221646262</v>
      </c>
      <c r="BB24" s="1" t="n">
        <f aca="false">AY24+BA24</f>
        <v>28567.3783403449</v>
      </c>
      <c r="BC24" s="1" t="n">
        <f aca="false">AJ24+Assumptions!$B$28/POWER(1+Assumptions!$B$2,AH24)+(-PV(Assumptions!$B$2,AH24,R24+T24+AI24))</f>
        <v>32081.1447719758</v>
      </c>
      <c r="BD24" s="1" t="n">
        <f aca="false">MIN(Z24,AG24,AZ24)</f>
        <v>26800.4261058391</v>
      </c>
      <c r="BE24" s="0" t="str">
        <f aca="false">IF(BD24=Z24,"Cash",IF(BD24=AG24,"Loan","Lease then buy out"))</f>
        <v>Cash</v>
      </c>
    </row>
    <row r="25" customFormat="false" ht="15" hidden="false" customHeight="false" outlineLevel="0" collapsed="false">
      <c r="A25" s="0" t="s">
        <v>63</v>
      </c>
      <c r="B25" s="0" t="s">
        <v>72</v>
      </c>
      <c r="C25" s="0" t="n">
        <v>3</v>
      </c>
      <c r="D25" s="0" t="n">
        <v>0</v>
      </c>
      <c r="E25" s="0" t="n">
        <v>40457</v>
      </c>
      <c r="F25" s="0" t="n">
        <v>3047</v>
      </c>
      <c r="G25" s="0" t="n">
        <v>547</v>
      </c>
      <c r="H25" s="0" t="n">
        <v>36</v>
      </c>
      <c r="I25" s="0" t="n">
        <v>23</v>
      </c>
      <c r="J25" s="0" t="n">
        <v>12781</v>
      </c>
      <c r="K25" s="0" t="s">
        <v>35</v>
      </c>
      <c r="L25" s="0" t="n">
        <v>184.8</v>
      </c>
      <c r="M25" s="0" t="n">
        <f aca="false">MAX(Assumptions!$B$33,Assumptions!$B$30-Assumptions!$B$31*(H25-36)-IF(D25=1,Assumptions!$B$32,0))</f>
        <v>0.57</v>
      </c>
      <c r="N25" s="0" t="n">
        <f aca="false">E25*M25</f>
        <v>23060.49</v>
      </c>
      <c r="O25" s="0" t="n">
        <f aca="false">1-POWER(J25/E25,0.1)</f>
        <v>0.108837063385632</v>
      </c>
      <c r="P25" s="0" t="n">
        <f aca="false">E25*(1+Assumptions!$B$8)+Assumptions!$B$9</f>
        <v>42879.85</v>
      </c>
      <c r="Q25" s="0" t="n">
        <f aca="false">IF(D25=1,Assumptions!$B$14*33.7,Assumptions!$B$13)</f>
        <v>3.1</v>
      </c>
      <c r="R25" s="0" t="n">
        <f aca="false">(Assumptions!$B$10/I25)*Q25</f>
        <v>1347.82608695652</v>
      </c>
      <c r="S25" s="0" t="n">
        <f aca="false">Assumptions!$B$15+Assumptions!$B$17</f>
        <v>1750</v>
      </c>
      <c r="T25" s="0" t="n">
        <f aca="false">Assumptions!$B$15*(1+Assumptions!$B$16)+Assumptions!$B$17</f>
        <v>1942</v>
      </c>
      <c r="U25" s="0" t="n">
        <f aca="false">IF(OR(C25&gt;Assumptions!$B$11,Assumptions!$B$10*C25&gt;Assumptions!$B$12),1,0)</f>
        <v>0</v>
      </c>
      <c r="V25" s="0" t="n">
        <f aca="false">MAX(0.6,1-Assumptions!$B$22*MAX(0,(Assumptions!$B$10-10000)*C25)/10000)</f>
        <v>1</v>
      </c>
      <c r="W25" s="0" t="n">
        <f aca="false">IF(U25=1,Assumptions!$B$23,MAX(Assumptions!$B$23,E25*POWER(1-O25,C25)*V25))</f>
        <v>28632.8793497622</v>
      </c>
      <c r="X25" s="0" t="n">
        <f aca="true">SUMPRODUCT((ROW(INDIRECT("1:"&amp;C25))&gt;Assumptions!$B$20)*Assumptions!$B$18*POWER(Assumptions!$B$19,ROW(INDIRECT("1:"&amp;C25))-Assumptions!$B$20-1)*IF(ROW(INDIRECT("1:"&amp;C25))&gt;Assumptions!$B$11,Assumptions!$B$21,1)/POWER(1+Assumptions!$B$2,ROW(INDIRECT("1:"&amp;C25))))</f>
        <v>0</v>
      </c>
      <c r="Y25" s="1" t="n">
        <f aca="false">-PV(Assumptions!$B$2,C25,R25+S25)+X25</f>
        <v>8483.79658525256</v>
      </c>
      <c r="Z25" s="1" t="n">
        <f aca="false">P25+Y25-(W25/POWER(1+Assumptions!$B$2,C25))</f>
        <v>26416.2645197261</v>
      </c>
      <c r="AA25" s="0" t="n">
        <f aca="false">P25*Assumptions!$B$7</f>
        <v>4287.985</v>
      </c>
      <c r="AB25" s="0" t="n">
        <f aca="false">P25-AA25</f>
        <v>38591.865</v>
      </c>
      <c r="AC25" s="1" t="n">
        <f aca="false">PMT(Assumptions!$B$5,Assumptions!$B$6,-AB25)</f>
        <v>763.983116948084</v>
      </c>
      <c r="AD25" s="0" t="n">
        <f aca="false">C25*12</f>
        <v>36</v>
      </c>
      <c r="AE25" s="0" t="n">
        <f aca="false">MIN(Assumptions!$B$6,AD25)</f>
        <v>36</v>
      </c>
      <c r="AF25" s="1" t="n">
        <f aca="false">IF(AD25&gt;=Assumptions!$B$6,0,-PV(Assumptions!$B$5,Assumptions!$B$6-AD25,AC25))</f>
        <v>17065.3666661256</v>
      </c>
      <c r="AG25" s="1" t="n">
        <f aca="false">AA25+(-PV(Assumptions!$B$3,AE25,AC25))+Y25-((W25-AF25)/POWER(1+Assumptions!$B$2,C25))</f>
        <v>28298.937302474</v>
      </c>
      <c r="AH25" s="0" t="n">
        <f aca="false">H25/12</f>
        <v>3</v>
      </c>
      <c r="AI25" s="0" t="n">
        <f aca="false">MAX(0,Assumptions!$B$10-Assumptions!$B$24)*Assumptions!$B$25</f>
        <v>0</v>
      </c>
      <c r="AJ25" s="1" t="n">
        <f aca="false">F25+Assumptions!$B$27+(-PV(Assumptions!$B$3,H25-1,G25))</f>
        <v>21605.1228666337</v>
      </c>
      <c r="AK25" s="0" t="n">
        <f aca="false">CEILING(C25/AH25,1)</f>
        <v>1</v>
      </c>
      <c r="AL25" s="0" t="n">
        <f aca="false">(1+Assumptions!$B$26)/POWER(1+Assumptions!$B$2,AH25)</f>
        <v>0.906135810905202</v>
      </c>
      <c r="AM25" s="0" t="n">
        <f aca="false">IF(ABS(1-AL25)&lt;0.000000000001,AK25,(1-POWER(AL25,AK25))/(1-AL25))</f>
        <v>1</v>
      </c>
      <c r="AN25" s="0" t="n">
        <f aca="false">1/POWER(1+Assumptions!$B$2,AH25)</f>
        <v>0.871284433562695</v>
      </c>
      <c r="AO25" s="0" t="n">
        <f aca="false">IF(ABS(1-AN25)&lt;0.000000000001,AK25,AN25*(1-POWER(AN25,AK25))/(1-AN25))</f>
        <v>0.871284433562695</v>
      </c>
      <c r="AP25" s="1" t="n">
        <f aca="false">AJ25*AM25+Assumptions!$B$28*AO25+(-PV(Assumptions!$B$2,C25,R25+T25+AI25))</f>
        <v>30963.2500073531</v>
      </c>
      <c r="AQ25" s="0" t="n">
        <f aca="false">N25*(1+Assumptions!$B$8)</f>
        <v>24213.5145</v>
      </c>
      <c r="AR25" s="1" t="n">
        <f aca="false">PMT(Assumptions!$B$5,Assumptions!$B$29,-AQ25)</f>
        <v>747.532329650213</v>
      </c>
      <c r="AS25" s="0" t="n">
        <f aca="false">MAX(0,AD25-H25)</f>
        <v>0</v>
      </c>
      <c r="AT25" s="0" t="n">
        <f aca="false">MIN(Assumptions!$B$29,AS25)</f>
        <v>0</v>
      </c>
      <c r="AU25" s="1" t="n">
        <f aca="false">IF(AS25&gt;=Assumptions!$B$29,0,-PV(Assumptions!$B$5,Assumptions!$B$29-AS25,AR25))</f>
        <v>24213.5144999999</v>
      </c>
      <c r="AV25" s="1" t="n">
        <f aca="false">(-PV(Assumptions!$B$3,AT25,AR25))/POWER(1+Assumptions!$B$2,AH25)</f>
        <v>0</v>
      </c>
      <c r="AW25" s="1" t="n">
        <f aca="false">-PV(Assumptions!$B$2,AH25,T25+AI25)</f>
        <v>5318.41766002654</v>
      </c>
      <c r="AX25" s="1" t="n">
        <f aca="false">(-PV(Assumptions!$B$2,C25,S25))-(-PV(Assumptions!$B$2,AH25,S25))</f>
        <v>0</v>
      </c>
      <c r="AY25" s="1" t="n">
        <f aca="false">AJ25+AW25+AX25+(-PV(Assumptions!$B$2,C25,R25))+X25-(W25/POWER(1+Assumptions!$B$2,C25))</f>
        <v>5667.35416840156</v>
      </c>
      <c r="AZ25" s="1" t="n">
        <f aca="false">AY25+AV25+(AU25/POWER(1+Assumptions!$B$2,C25))</f>
        <v>26764.212434096</v>
      </c>
      <c r="BA25" s="0" t="n">
        <f aca="false">AQ25/POWER(1+Assumptions!$B$2,AH25)</f>
        <v>21096.8582656946</v>
      </c>
      <c r="BB25" s="1" t="n">
        <f aca="false">AY25+BA25</f>
        <v>26764.2124340961</v>
      </c>
      <c r="BC25" s="1" t="n">
        <f aca="false">AJ25+Assumptions!$B$28/POWER(1+Assumptions!$B$2,AH25)+(-PV(Assumptions!$B$2,AH25,R25+T25+AI25))</f>
        <v>30963.2500073531</v>
      </c>
      <c r="BD25" s="1" t="n">
        <f aca="false">MIN(Z25,AG25,AZ25)</f>
        <v>26416.2645197261</v>
      </c>
      <c r="BE25" s="0" t="str">
        <f aca="false">IF(BD25=Z25,"Cash",IF(BD25=AG25,"Loan","Lease then buy out"))</f>
        <v>Cash</v>
      </c>
    </row>
    <row r="26" customFormat="false" ht="15" hidden="false" customHeight="false" outlineLevel="0" collapsed="false">
      <c r="A26" s="0" t="s">
        <v>58</v>
      </c>
      <c r="B26" s="0" t="s">
        <v>73</v>
      </c>
      <c r="C26" s="0" t="n">
        <v>3</v>
      </c>
      <c r="D26" s="0" t="n">
        <v>0</v>
      </c>
      <c r="E26" s="0" t="n">
        <v>49575</v>
      </c>
      <c r="F26" s="0" t="n">
        <v>1304</v>
      </c>
      <c r="G26" s="0" t="n">
        <v>554</v>
      </c>
      <c r="H26" s="0" t="n">
        <v>36</v>
      </c>
      <c r="I26" s="0" t="n">
        <v>35</v>
      </c>
      <c r="J26" s="0" t="n">
        <v>20339</v>
      </c>
      <c r="K26" s="0" t="s">
        <v>35</v>
      </c>
      <c r="L26" s="0" t="n">
        <v>182.3</v>
      </c>
      <c r="M26" s="0" t="n">
        <f aca="false">MAX(Assumptions!$B$33,Assumptions!$B$30-Assumptions!$B$31*(H26-36)-IF(D26=1,Assumptions!$B$32,0))</f>
        <v>0.57</v>
      </c>
      <c r="N26" s="0" t="n">
        <f aca="false">E26*M26</f>
        <v>28257.75</v>
      </c>
      <c r="O26" s="0" t="n">
        <f aca="false">1-POWER(J26/E26,0.1)</f>
        <v>0.0852410078145912</v>
      </c>
      <c r="P26" s="0" t="n">
        <f aca="false">E26*(1+Assumptions!$B$8)+Assumptions!$B$9</f>
        <v>52453.75</v>
      </c>
      <c r="Q26" s="0" t="n">
        <f aca="false">IF(D26=1,Assumptions!$B$14*33.7,Assumptions!$B$13)</f>
        <v>3.1</v>
      </c>
      <c r="R26" s="0" t="n">
        <f aca="false">(Assumptions!$B$10/I26)*Q26</f>
        <v>885.714285714286</v>
      </c>
      <c r="S26" s="0" t="n">
        <f aca="false">Assumptions!$B$15+Assumptions!$B$17</f>
        <v>1750</v>
      </c>
      <c r="T26" s="0" t="n">
        <f aca="false">Assumptions!$B$15*(1+Assumptions!$B$16)+Assumptions!$B$17</f>
        <v>1942</v>
      </c>
      <c r="U26" s="0" t="n">
        <f aca="false">IF(OR(C26&gt;Assumptions!$B$11,Assumptions!$B$10*C26&gt;Assumptions!$B$12),1,0)</f>
        <v>0</v>
      </c>
      <c r="V26" s="0" t="n">
        <f aca="false">MAX(0.6,1-Assumptions!$B$22*MAX(0,(Assumptions!$B$10-10000)*C26)/10000)</f>
        <v>1</v>
      </c>
      <c r="W26" s="0" t="n">
        <f aca="false">IF(U26=1,Assumptions!$B$23,MAX(Assumptions!$B$23,E26*POWER(1-O26,C26)*V26))</f>
        <v>37947.4663833201</v>
      </c>
      <c r="X26" s="0" t="n">
        <f aca="true">SUMPRODUCT((ROW(INDIRECT("1:"&amp;C26))&gt;Assumptions!$B$20)*Assumptions!$B$18*POWER(Assumptions!$B$19,ROW(INDIRECT("1:"&amp;C26))-Assumptions!$B$20-1)*IF(ROW(INDIRECT("1:"&amp;C26))&gt;Assumptions!$B$11,Assumptions!$B$21,1)/POWER(1+Assumptions!$B$2,ROW(INDIRECT("1:"&amp;C26))))</f>
        <v>0</v>
      </c>
      <c r="Y26" s="1" t="n">
        <f aca="false">-PV(Assumptions!$B$2,C26,R26+S26)+X26</f>
        <v>7218.24377133218</v>
      </c>
      <c r="Z26" s="1" t="n">
        <f aca="false">P26+Y26-(W26/POWER(1+Assumptions!$B$2,C26))</f>
        <v>26608.9570184018</v>
      </c>
      <c r="AA26" s="0" t="n">
        <f aca="false">P26*Assumptions!$B$7</f>
        <v>5245.375</v>
      </c>
      <c r="AB26" s="0" t="n">
        <f aca="false">P26-AA26</f>
        <v>47208.375</v>
      </c>
      <c r="AC26" s="1" t="n">
        <f aca="false">PMT(Assumptions!$B$5,Assumptions!$B$6,-AB26)</f>
        <v>934.559692270741</v>
      </c>
      <c r="AD26" s="0" t="n">
        <f aca="false">C26*12</f>
        <v>36</v>
      </c>
      <c r="AE26" s="0" t="n">
        <f aca="false">MIN(Assumptions!$B$6,AD26)</f>
        <v>36</v>
      </c>
      <c r="AF26" s="1" t="n">
        <f aca="false">IF(AD26&gt;=Assumptions!$B$6,0,-PV(Assumptions!$B$5,Assumptions!$B$6-AD26,AC26))</f>
        <v>20875.5972038915</v>
      </c>
      <c r="AG26" s="1" t="n">
        <f aca="false">AA26+(-PV(Assumptions!$B$3,AE26,AC26))+Y26-((W26-AF26)/POWER(1+Assumptions!$B$2,C26))</f>
        <v>28911.9792416153</v>
      </c>
      <c r="AH26" s="0" t="n">
        <f aca="false">H26/12</f>
        <v>3</v>
      </c>
      <c r="AI26" s="0" t="n">
        <f aca="false">MAX(0,Assumptions!$B$10-Assumptions!$B$24)*Assumptions!$B$25</f>
        <v>0</v>
      </c>
      <c r="AJ26" s="1" t="n">
        <f aca="false">F26+Assumptions!$B$27+(-PV(Assumptions!$B$3,H26-1,G26))</f>
        <v>20090.6546035011</v>
      </c>
      <c r="AK26" s="0" t="n">
        <f aca="false">CEILING(C26/AH26,1)</f>
        <v>1</v>
      </c>
      <c r="AL26" s="0" t="n">
        <f aca="false">(1+Assumptions!$B$26)/POWER(1+Assumptions!$B$2,AH26)</f>
        <v>0.906135810905202</v>
      </c>
      <c r="AM26" s="0" t="n">
        <f aca="false">IF(ABS(1-AL26)&lt;0.000000000001,AK26,(1-POWER(AL26,AK26))/(1-AL26))</f>
        <v>1</v>
      </c>
      <c r="AN26" s="0" t="n">
        <f aca="false">1/POWER(1+Assumptions!$B$2,AH26)</f>
        <v>0.871284433562695</v>
      </c>
      <c r="AO26" s="0" t="n">
        <f aca="false">IF(ABS(1-AN26)&lt;0.000000000001,AK26,AN26*(1-POWER(AN26,AK26))/(1-AN26))</f>
        <v>0.871284433562695</v>
      </c>
      <c r="AP26" s="1" t="n">
        <f aca="false">AJ26*AM26+Assumptions!$B$28*AO26+(-PV(Assumptions!$B$2,C26,R26+T26+AI26))</f>
        <v>28183.2289303001</v>
      </c>
      <c r="AQ26" s="0" t="n">
        <f aca="false">N26*(1+Assumptions!$B$8)</f>
        <v>29670.6375</v>
      </c>
      <c r="AR26" s="1" t="n">
        <f aca="false">PMT(Assumptions!$B$5,Assumptions!$B$29,-AQ26)</f>
        <v>916.007495425002</v>
      </c>
      <c r="AS26" s="0" t="n">
        <f aca="false">MAX(0,AD26-H26)</f>
        <v>0</v>
      </c>
      <c r="AT26" s="0" t="n">
        <f aca="false">MIN(Assumptions!$B$29,AS26)</f>
        <v>0</v>
      </c>
      <c r="AU26" s="1" t="n">
        <f aca="false">IF(AS26&gt;=Assumptions!$B$29,0,-PV(Assumptions!$B$5,Assumptions!$B$29-AS26,AR26))</f>
        <v>29670.6374999999</v>
      </c>
      <c r="AV26" s="1" t="n">
        <f aca="false">(-PV(Assumptions!$B$3,AT26,AR26))/POWER(1+Assumptions!$B$2,AH26)</f>
        <v>0</v>
      </c>
      <c r="AW26" s="1" t="n">
        <f aca="false">-PV(Assumptions!$B$2,AH26,T26+AI26)</f>
        <v>5318.41766002654</v>
      </c>
      <c r="AX26" s="1" t="n">
        <f aca="false">(-PV(Assumptions!$B$2,C26,S26))-(-PV(Assumptions!$B$2,AH26,S26))</f>
        <v>0</v>
      </c>
      <c r="AY26" s="1" t="n">
        <f aca="false">AJ26+AW26+AX26+(-PV(Assumptions!$B$2,C26,R26))+X26-(W26/POWER(1+Assumptions!$B$2,C26))</f>
        <v>-5228.3215960554</v>
      </c>
      <c r="AZ26" s="1" t="n">
        <f aca="false">AY26+AV26+(AU26/POWER(1+Assumptions!$B$2,C26))</f>
        <v>20623.242991576</v>
      </c>
      <c r="BA26" s="0" t="n">
        <f aca="false">AQ26/POWER(1+Assumptions!$B$2,AH26)</f>
        <v>25851.5645876315</v>
      </c>
      <c r="BB26" s="1" t="n">
        <f aca="false">AY26+BA26</f>
        <v>20623.2429915761</v>
      </c>
      <c r="BC26" s="1" t="n">
        <f aca="false">AJ26+Assumptions!$B$28/POWER(1+Assumptions!$B$2,AH26)+(-PV(Assumptions!$B$2,AH26,R26+T26+AI26))</f>
        <v>28183.2289303001</v>
      </c>
      <c r="BD26" s="1" t="n">
        <f aca="false">MIN(Z26,AG26,AZ26)</f>
        <v>20623.242991576</v>
      </c>
      <c r="BE26" s="0" t="str">
        <f aca="false">IF(BD26=Z26,"Cash",IF(BD26=AG26,"Loan","Lease then buy out"))</f>
        <v>Lease then buy out</v>
      </c>
    </row>
    <row r="27" customFormat="false" ht="15" hidden="false" customHeight="false" outlineLevel="0" collapsed="false">
      <c r="A27" s="0" t="s">
        <v>63</v>
      </c>
      <c r="B27" s="0" t="s">
        <v>74</v>
      </c>
      <c r="C27" s="0" t="n">
        <v>3</v>
      </c>
      <c r="D27" s="0" t="n">
        <v>0</v>
      </c>
      <c r="E27" s="0" t="n">
        <v>32598</v>
      </c>
      <c r="F27" s="0" t="n">
        <v>3000</v>
      </c>
      <c r="G27" s="0" t="n">
        <v>506</v>
      </c>
      <c r="H27" s="0" t="n">
        <v>36</v>
      </c>
      <c r="I27" s="0" t="n">
        <v>37</v>
      </c>
      <c r="J27" s="0" t="n">
        <v>9648</v>
      </c>
      <c r="K27" s="0" t="s">
        <v>35</v>
      </c>
      <c r="L27" s="0" t="n">
        <v>87.3</v>
      </c>
      <c r="M27" s="0" t="n">
        <f aca="false">MAX(Assumptions!$B$33,Assumptions!$B$30-Assumptions!$B$31*(H27-36)-IF(D27=1,Assumptions!$B$32,0))</f>
        <v>0.57</v>
      </c>
      <c r="N27" s="0" t="n">
        <f aca="false">E27*M27</f>
        <v>18580.86</v>
      </c>
      <c r="O27" s="0" t="n">
        <f aca="false">1-POWER(J27/E27,0.1)</f>
        <v>0.114630343020944</v>
      </c>
      <c r="P27" s="0" t="n">
        <f aca="false">E27*(1+Assumptions!$B$8)+Assumptions!$B$9</f>
        <v>34627.9</v>
      </c>
      <c r="Q27" s="0" t="n">
        <f aca="false">IF(D27=1,Assumptions!$B$14*33.7,Assumptions!$B$13)</f>
        <v>3.1</v>
      </c>
      <c r="R27" s="0" t="n">
        <f aca="false">(Assumptions!$B$10/I27)*Q27</f>
        <v>837.837837837838</v>
      </c>
      <c r="S27" s="0" t="n">
        <f aca="false">Assumptions!$B$15+Assumptions!$B$17</f>
        <v>1750</v>
      </c>
      <c r="T27" s="0" t="n">
        <f aca="false">Assumptions!$B$15*(1+Assumptions!$B$16)+Assumptions!$B$17</f>
        <v>1942</v>
      </c>
      <c r="U27" s="0" t="n">
        <f aca="false">IF(OR(C27&gt;Assumptions!$B$11,Assumptions!$B$10*C27&gt;Assumptions!$B$12),1,0)</f>
        <v>0</v>
      </c>
      <c r="V27" s="0" t="n">
        <f aca="false">MAX(0.6,1-Assumptions!$B$22*MAX(0,(Assumptions!$B$10-10000)*C27)/10000)</f>
        <v>1</v>
      </c>
      <c r="W27" s="0" t="n">
        <f aca="false">IF(U27=1,Assumptions!$B$23,MAX(Assumptions!$B$23,E27*POWER(1-O27,C27)*V27))</f>
        <v>22623.7637623189</v>
      </c>
      <c r="X27" s="0" t="n">
        <f aca="true">SUMPRODUCT((ROW(INDIRECT("1:"&amp;C27))&gt;Assumptions!$B$20)*Assumptions!$B$18*POWER(Assumptions!$B$19,ROW(INDIRECT("1:"&amp;C27))-Assumptions!$B$20-1)*IF(ROW(INDIRECT("1:"&amp;C27))&gt;Assumptions!$B$11,Assumptions!$B$21,1)/POWER(1+Assumptions!$B$2,ROW(INDIRECT("1:"&amp;C27))))</f>
        <v>0</v>
      </c>
      <c r="Y27" s="1" t="n">
        <f aca="false">-PV(Assumptions!$B$2,C27,R27+S27)+X27</f>
        <v>7087.12793925935</v>
      </c>
      <c r="Z27" s="1" t="n">
        <f aca="false">P27+Y27-(W27/POWER(1+Assumptions!$B$2,C27))</f>
        <v>22003.2947445511</v>
      </c>
      <c r="AA27" s="0" t="n">
        <f aca="false">P27*Assumptions!$B$7</f>
        <v>3462.79</v>
      </c>
      <c r="AB27" s="0" t="n">
        <f aca="false">P27-AA27</f>
        <v>31165.11</v>
      </c>
      <c r="AC27" s="1" t="n">
        <f aca="false">PMT(Assumptions!$B$5,Assumptions!$B$6,-AB27)</f>
        <v>616.959503714835</v>
      </c>
      <c r="AD27" s="0" t="n">
        <f aca="false">C27*12</f>
        <v>36</v>
      </c>
      <c r="AE27" s="0" t="n">
        <f aca="false">MIN(Assumptions!$B$6,AD27)</f>
        <v>36</v>
      </c>
      <c r="AF27" s="1" t="n">
        <f aca="false">IF(AD27&gt;=Assumptions!$B$6,0,-PV(Assumptions!$B$5,Assumptions!$B$6-AD27,AC27))</f>
        <v>13781.2471447062</v>
      </c>
      <c r="AG27" s="1" t="n">
        <f aca="false">AA27+(-PV(Assumptions!$B$3,AE27,AC27))+Y27-((W27-AF27)/POWER(1+Assumptions!$B$2,C27))</f>
        <v>23523.6593179747</v>
      </c>
      <c r="AH27" s="0" t="n">
        <f aca="false">H27/12</f>
        <v>3</v>
      </c>
      <c r="AI27" s="0" t="n">
        <f aca="false">MAX(0,Assumptions!$B$10-Assumptions!$B$24)*Assumptions!$B$25</f>
        <v>0</v>
      </c>
      <c r="AJ27" s="1" t="n">
        <f aca="false">F27+Assumptions!$B$27+(-PV(Assumptions!$B$3,H27-1,G27))</f>
        <v>20219.5798364107</v>
      </c>
      <c r="AK27" s="0" t="n">
        <f aca="false">CEILING(C27/AH27,1)</f>
        <v>1</v>
      </c>
      <c r="AL27" s="0" t="n">
        <f aca="false">(1+Assumptions!$B$26)/POWER(1+Assumptions!$B$2,AH27)</f>
        <v>0.906135810905202</v>
      </c>
      <c r="AM27" s="0" t="n">
        <f aca="false">IF(ABS(1-AL27)&lt;0.000000000001,AK27,(1-POWER(AL27,AK27))/(1-AL27))</f>
        <v>1</v>
      </c>
      <c r="AN27" s="0" t="n">
        <f aca="false">1/POWER(1+Assumptions!$B$2,AH27)</f>
        <v>0.871284433562695</v>
      </c>
      <c r="AO27" s="0" t="n">
        <f aca="false">IF(ABS(1-AN27)&lt;0.000000000001,AK27,AN27*(1-POWER(AN27,AK27))/(1-AN27))</f>
        <v>0.871284433562695</v>
      </c>
      <c r="AP27" s="1" t="n">
        <f aca="false">AJ27*AM27+Assumptions!$B$28*AO27+(-PV(Assumptions!$B$2,C27,R27+T27+AI27))</f>
        <v>28181.0383311369</v>
      </c>
      <c r="AQ27" s="0" t="n">
        <f aca="false">N27*(1+Assumptions!$B$8)</f>
        <v>19509.903</v>
      </c>
      <c r="AR27" s="1" t="n">
        <f aca="false">PMT(Assumptions!$B$5,Assumptions!$B$29,-AQ27)</f>
        <v>602.319966431956</v>
      </c>
      <c r="AS27" s="0" t="n">
        <f aca="false">MAX(0,AD27-H27)</f>
        <v>0</v>
      </c>
      <c r="AT27" s="0" t="n">
        <f aca="false">MIN(Assumptions!$B$29,AS27)</f>
        <v>0</v>
      </c>
      <c r="AU27" s="1" t="n">
        <f aca="false">IF(AS27&gt;=Assumptions!$B$29,0,-PV(Assumptions!$B$5,Assumptions!$B$29-AS27,AR27))</f>
        <v>19509.9029999999</v>
      </c>
      <c r="AV27" s="1" t="n">
        <f aca="false">(-PV(Assumptions!$B$3,AT27,AR27))/POWER(1+Assumptions!$B$2,AH27)</f>
        <v>0</v>
      </c>
      <c r="AW27" s="1" t="n">
        <f aca="false">-PV(Assumptions!$B$2,AH27,T27+AI27)</f>
        <v>5318.41766002654</v>
      </c>
      <c r="AX27" s="1" t="n">
        <f aca="false">(-PV(Assumptions!$B$2,C27,S27))-(-PV(Assumptions!$B$2,AH27,S27))</f>
        <v>0</v>
      </c>
      <c r="AY27" s="1" t="n">
        <f aca="false">AJ27+AW27+AX27+(-PV(Assumptions!$B$2,C27,R27))+X27-(W27/POWER(1+Assumptions!$B$2,C27))</f>
        <v>8120.79136300356</v>
      </c>
      <c r="AZ27" s="1" t="n">
        <f aca="false">AY27+AV27+(AU27/POWER(1+Assumptions!$B$2,C27))</f>
        <v>25119.4661472216</v>
      </c>
      <c r="BA27" s="0" t="n">
        <f aca="false">AQ27/POWER(1+Assumptions!$B$2,AH27)</f>
        <v>16998.6747842181</v>
      </c>
      <c r="BB27" s="1" t="n">
        <f aca="false">AY27+BA27</f>
        <v>25119.4661472217</v>
      </c>
      <c r="BC27" s="1" t="n">
        <f aca="false">AJ27+Assumptions!$B$28/POWER(1+Assumptions!$B$2,AH27)+(-PV(Assumptions!$B$2,AH27,R27+T27+AI27))</f>
        <v>28181.0383311369</v>
      </c>
      <c r="BD27" s="1" t="n">
        <f aca="false">MIN(Z27,AG27,AZ27)</f>
        <v>22003.2947445511</v>
      </c>
      <c r="BE27" s="0" t="str">
        <f aca="false">IF(BD27=Z27,"Cash",IF(BD27=AG27,"Loan","Lease then buy out"))</f>
        <v>Cash</v>
      </c>
    </row>
    <row r="28" customFormat="false" ht="15" hidden="false" customHeight="false" outlineLevel="0" collapsed="false">
      <c r="A28" s="0" t="s">
        <v>31</v>
      </c>
      <c r="B28" s="0" t="s">
        <v>76</v>
      </c>
      <c r="C28" s="0" t="n">
        <v>3</v>
      </c>
      <c r="D28" s="0" t="n">
        <v>0</v>
      </c>
      <c r="E28" s="0" t="n">
        <v>36712</v>
      </c>
      <c r="F28" s="0" t="n">
        <v>4370</v>
      </c>
      <c r="G28" s="0" t="n">
        <v>317</v>
      </c>
      <c r="H28" s="0" t="n">
        <v>36</v>
      </c>
      <c r="I28" s="0" t="n">
        <v>36</v>
      </c>
      <c r="J28" s="0" t="n">
        <v>6000</v>
      </c>
      <c r="K28" s="0" t="s">
        <v>35</v>
      </c>
      <c r="L28" s="0" t="n">
        <v>120.4</v>
      </c>
      <c r="M28" s="0" t="n">
        <f aca="false">MAX(Assumptions!$B$33,Assumptions!$B$30-Assumptions!$B$31*(H28-36)-IF(D28=1,Assumptions!$B$32,0))</f>
        <v>0.57</v>
      </c>
      <c r="N28" s="0" t="n">
        <f aca="false">E28*M28</f>
        <v>20925.84</v>
      </c>
      <c r="O28" s="0" t="n">
        <f aca="false">1-POWER(J28/E28,0.1)</f>
        <v>0.165676799223019</v>
      </c>
      <c r="P28" s="0" t="n">
        <f aca="false">E28*(1+Assumptions!$B$8)+Assumptions!$B$9</f>
        <v>38947.6</v>
      </c>
      <c r="Q28" s="0" t="n">
        <f aca="false">IF(D28=1,Assumptions!$B$14*33.7,Assumptions!$B$13)</f>
        <v>3.1</v>
      </c>
      <c r="R28" s="0" t="n">
        <f aca="false">(Assumptions!$B$10/I28)*Q28</f>
        <v>861.111111111111</v>
      </c>
      <c r="S28" s="0" t="n">
        <f aca="false">Assumptions!$B$15+Assumptions!$B$17</f>
        <v>1750</v>
      </c>
      <c r="T28" s="0" t="n">
        <f aca="false">Assumptions!$B$15*(1+Assumptions!$B$16)+Assumptions!$B$17</f>
        <v>1942</v>
      </c>
      <c r="U28" s="0" t="n">
        <f aca="false">IF(OR(C28&gt;Assumptions!$B$11,Assumptions!$B$10*C28&gt;Assumptions!$B$12),1,0)</f>
        <v>0</v>
      </c>
      <c r="V28" s="0" t="n">
        <f aca="false">MAX(0.6,1-Assumptions!$B$22*MAX(0,(Assumptions!$B$10-10000)*C28)/10000)</f>
        <v>1</v>
      </c>
      <c r="W28" s="0" t="n">
        <f aca="false">IF(U28=1,Assumptions!$B$23,MAX(Assumptions!$B$23,E28*POWER(1-O28,C28)*V28))</f>
        <v>21321.1686971169</v>
      </c>
      <c r="X28" s="0" t="n">
        <f aca="true">SUMPRODUCT((ROW(INDIRECT("1:"&amp;C28))&gt;Assumptions!$B$20)*Assumptions!$B$18*POWER(Assumptions!$B$19,ROW(INDIRECT("1:"&amp;C28))-Assumptions!$B$20-1)*IF(ROW(INDIRECT("1:"&amp;C28))&gt;Assumptions!$B$11,Assumptions!$B$21,1)/POWER(1+Assumptions!$B$2,ROW(INDIRECT("1:"&amp;C28))))</f>
        <v>0</v>
      </c>
      <c r="Y28" s="1" t="n">
        <f aca="false">-PV(Assumptions!$B$2,C28,R28+S28)+X28</f>
        <v>7150.86480207253</v>
      </c>
      <c r="Z28" s="1" t="n">
        <f aca="false">P28+Y28-(W28/POWER(1+Assumptions!$B$2,C28))</f>
        <v>27521.6624109104</v>
      </c>
      <c r="AA28" s="0" t="n">
        <f aca="false">P28*Assumptions!$B$7</f>
        <v>3894.76</v>
      </c>
      <c r="AB28" s="0" t="n">
        <f aca="false">P28-AA28</f>
        <v>35052.84</v>
      </c>
      <c r="AC28" s="1" t="n">
        <f aca="false">PMT(Assumptions!$B$5,Assumptions!$B$6,-AB28)</f>
        <v>693.922876261162</v>
      </c>
      <c r="AD28" s="0" t="n">
        <f aca="false">C28*12</f>
        <v>36</v>
      </c>
      <c r="AE28" s="0" t="n">
        <f aca="false">MIN(Assumptions!$B$6,AD28)</f>
        <v>36</v>
      </c>
      <c r="AF28" s="1" t="n">
        <f aca="false">IF(AD28&gt;=Assumptions!$B$6,0,-PV(Assumptions!$B$5,Assumptions!$B$6-AD28,AC28))</f>
        <v>15500.405779535</v>
      </c>
      <c r="AG28" s="1" t="n">
        <f aca="false">AA28+(-PV(Assumptions!$B$3,AE28,AC28))+Y28-((W28-AF28)/POWER(1+Assumptions!$B$2,C28))</f>
        <v>29231.6867340681</v>
      </c>
      <c r="AH28" s="0" t="n">
        <f aca="false">H28/12</f>
        <v>3</v>
      </c>
      <c r="AI28" s="0" t="n">
        <f aca="false">MAX(0,Assumptions!$B$10-Assumptions!$B$24)*Assumptions!$B$25</f>
        <v>0</v>
      </c>
      <c r="AJ28" s="1" t="n">
        <f aca="false">F28+Assumptions!$B$27+(-PV(Assumptions!$B$3,H28-1,G28))</f>
        <v>15419.2229409925</v>
      </c>
      <c r="AK28" s="0" t="n">
        <f aca="false">CEILING(C28/AH28,1)</f>
        <v>1</v>
      </c>
      <c r="AL28" s="0" t="n">
        <f aca="false">(1+Assumptions!$B$26)/POWER(1+Assumptions!$B$2,AH28)</f>
        <v>0.906135810905202</v>
      </c>
      <c r="AM28" s="0" t="n">
        <f aca="false">IF(ABS(1-AL28)&lt;0.000000000001,AK28,(1-POWER(AL28,AK28))/(1-AL28))</f>
        <v>1</v>
      </c>
      <c r="AN28" s="0" t="n">
        <f aca="false">1/POWER(1+Assumptions!$B$2,AH28)</f>
        <v>0.871284433562695</v>
      </c>
      <c r="AO28" s="0" t="n">
        <f aca="false">IF(ABS(1-AN28)&lt;0.000000000001,AK28,AN28*(1-POWER(AN28,AK28))/(1-AN28))</f>
        <v>0.871284433562695</v>
      </c>
      <c r="AP28" s="1" t="n">
        <f aca="false">AJ28*AM28+Assumptions!$B$28*AO28+(-PV(Assumptions!$B$2,C28,R28+T28+AI28))</f>
        <v>23444.4182985319</v>
      </c>
      <c r="AQ28" s="0" t="n">
        <f aca="false">N28*(1+Assumptions!$B$8)</f>
        <v>21972.132</v>
      </c>
      <c r="AR28" s="1" t="n">
        <f aca="false">PMT(Assumptions!$B$5,Assumptions!$B$29,-AQ28)</f>
        <v>678.335192577764</v>
      </c>
      <c r="AS28" s="0" t="n">
        <f aca="false">MAX(0,AD28-H28)</f>
        <v>0</v>
      </c>
      <c r="AT28" s="0" t="n">
        <f aca="false">MIN(Assumptions!$B$29,AS28)</f>
        <v>0</v>
      </c>
      <c r="AU28" s="1" t="n">
        <f aca="false">IF(AS28&gt;=Assumptions!$B$29,0,-PV(Assumptions!$B$5,Assumptions!$B$29-AS28,AR28))</f>
        <v>21972.1319999999</v>
      </c>
      <c r="AV28" s="1" t="n">
        <f aca="false">(-PV(Assumptions!$B$3,AT28,AR28))/POWER(1+Assumptions!$B$2,AH28)</f>
        <v>0</v>
      </c>
      <c r="AW28" s="1" t="n">
        <f aca="false">-PV(Assumptions!$B$2,AH28,T28+AI28)</f>
        <v>5318.41766002654</v>
      </c>
      <c r="AX28" s="1" t="n">
        <f aca="false">(-PV(Assumptions!$B$2,C28,S28))-(-PV(Assumptions!$B$2,AH28,S28))</f>
        <v>0</v>
      </c>
      <c r="AY28" s="1" t="n">
        <f aca="false">AJ28+AW28+AX28+(-PV(Assumptions!$B$2,C28,R28))+X28-(W28/POWER(1+Assumptions!$B$2,C28))</f>
        <v>4519.10213394467</v>
      </c>
      <c r="AZ28" s="1" t="n">
        <f aca="false">AY28+AV28+(AU28/POWER(1+Assumptions!$B$2,C28))</f>
        <v>23663.0787177293</v>
      </c>
      <c r="BA28" s="0" t="n">
        <f aca="false">AQ28/POWER(1+Assumptions!$B$2,AH28)</f>
        <v>19143.9765837848</v>
      </c>
      <c r="BB28" s="1" t="n">
        <f aca="false">AY28+BA28</f>
        <v>23663.0787177294</v>
      </c>
      <c r="BC28" s="1" t="n">
        <f aca="false">AJ28+Assumptions!$B$28/POWER(1+Assumptions!$B$2,AH28)+(-PV(Assumptions!$B$2,AH28,R28+T28+AI28))</f>
        <v>23444.4182985319</v>
      </c>
      <c r="BD28" s="1" t="n">
        <f aca="false">MIN(Z28,AG28,AZ28)</f>
        <v>23663.0787177293</v>
      </c>
      <c r="BE28" s="0" t="str">
        <f aca="false">IF(BD28=Z28,"Cash",IF(BD28=AG28,"Loan","Lease then buy out"))</f>
        <v>Lease then buy out</v>
      </c>
    </row>
    <row r="29" customFormat="false" ht="15" hidden="false" customHeight="false" outlineLevel="0" collapsed="false">
      <c r="A29" s="0" t="s">
        <v>58</v>
      </c>
      <c r="B29" s="0" t="s">
        <v>77</v>
      </c>
      <c r="C29" s="0" t="n">
        <v>3</v>
      </c>
      <c r="D29" s="0" t="n">
        <v>0</v>
      </c>
      <c r="E29" s="0" t="n">
        <v>43054</v>
      </c>
      <c r="F29" s="0" t="n">
        <v>3999</v>
      </c>
      <c r="G29" s="0" t="n">
        <v>439</v>
      </c>
      <c r="H29" s="0" t="n">
        <v>36</v>
      </c>
      <c r="I29" s="0" t="n">
        <v>41</v>
      </c>
      <c r="J29" s="0" t="n">
        <v>13500</v>
      </c>
      <c r="K29" s="0" t="s">
        <v>35</v>
      </c>
      <c r="L29" s="0" t="n">
        <v>121.3</v>
      </c>
      <c r="M29" s="0" t="n">
        <f aca="false">MAX(Assumptions!$B$33,Assumptions!$B$30-Assumptions!$B$31*(H29-36)-IF(D29=1,Assumptions!$B$32,0))</f>
        <v>0.57</v>
      </c>
      <c r="N29" s="0" t="n">
        <f aca="false">E29*M29</f>
        <v>24540.78</v>
      </c>
      <c r="O29" s="0" t="n">
        <f aca="false">1-POWER(J29/E29,0.1)</f>
        <v>0.109503890924716</v>
      </c>
      <c r="P29" s="0" t="n">
        <f aca="false">E29*(1+Assumptions!$B$8)+Assumptions!$B$9</f>
        <v>45606.7</v>
      </c>
      <c r="Q29" s="0" t="n">
        <f aca="false">IF(D29=1,Assumptions!$B$14*33.7,Assumptions!$B$13)</f>
        <v>3.1</v>
      </c>
      <c r="R29" s="0" t="n">
        <f aca="false">(Assumptions!$B$10/I29)*Q29</f>
        <v>756.09756097561</v>
      </c>
      <c r="S29" s="0" t="n">
        <f aca="false">Assumptions!$B$15+Assumptions!$B$17</f>
        <v>1750</v>
      </c>
      <c r="T29" s="0" t="n">
        <f aca="false">Assumptions!$B$15*(1+Assumptions!$B$16)+Assumptions!$B$17</f>
        <v>1942</v>
      </c>
      <c r="U29" s="0" t="n">
        <f aca="false">IF(OR(C29&gt;Assumptions!$B$11,Assumptions!$B$10*C29&gt;Assumptions!$B$12),1,0)</f>
        <v>0</v>
      </c>
      <c r="V29" s="0" t="n">
        <f aca="false">MAX(0.6,1-Assumptions!$B$22*MAX(0,(Assumptions!$B$10-10000)*C29)/10000)</f>
        <v>1</v>
      </c>
      <c r="W29" s="0" t="n">
        <f aca="false">IF(U29=1,Assumptions!$B$23,MAX(Assumptions!$B$23,E29*POWER(1-O29,C29)*V29))</f>
        <v>30402.5201568908</v>
      </c>
      <c r="X29" s="0" t="n">
        <f aca="true">SUMPRODUCT((ROW(INDIRECT("1:"&amp;C29))&gt;Assumptions!$B$20)*Assumptions!$B$18*POWER(Assumptions!$B$19,ROW(INDIRECT("1:"&amp;C29))-Assumptions!$B$20-1)*IF(ROW(INDIRECT("1:"&amp;C29))&gt;Assumptions!$B$11,Assumptions!$B$21,1)/POWER(1+Assumptions!$B$2,ROW(INDIRECT("1:"&amp;C29))))</f>
        <v>0</v>
      </c>
      <c r="Y29" s="1" t="n">
        <f aca="false">-PV(Assumptions!$B$2,C29,R29+S29)+X29</f>
        <v>6863.27164059841</v>
      </c>
      <c r="Z29" s="1" t="n">
        <f aca="false">P29+Y29-(W29/POWER(1+Assumptions!$B$2,C29))</f>
        <v>25980.7290868234</v>
      </c>
      <c r="AA29" s="0" t="n">
        <f aca="false">P29*Assumptions!$B$7</f>
        <v>4560.67</v>
      </c>
      <c r="AB29" s="0" t="n">
        <f aca="false">P29-AA29</f>
        <v>41046.03</v>
      </c>
      <c r="AC29" s="1" t="n">
        <f aca="false">PMT(Assumptions!$B$5,Assumptions!$B$6,-AB29)</f>
        <v>812.566947405743</v>
      </c>
      <c r="AD29" s="0" t="n">
        <f aca="false">C29*12</f>
        <v>36</v>
      </c>
      <c r="AE29" s="0" t="n">
        <f aca="false">MIN(Assumptions!$B$6,AD29)</f>
        <v>36</v>
      </c>
      <c r="AF29" s="1" t="n">
        <f aca="false">IF(AD29&gt;=Assumptions!$B$6,0,-PV(Assumptions!$B$5,Assumptions!$B$6-AD29,AC29))</f>
        <v>18150.6012248642</v>
      </c>
      <c r="AG29" s="1" t="n">
        <f aca="false">AA29+(-PV(Assumptions!$B$3,AE29,AC29))+Y29-((W29-AF29)/POWER(1+Assumptions!$B$2,C29))</f>
        <v>27983.1263153806</v>
      </c>
      <c r="AH29" s="0" t="n">
        <f aca="false">H29/12</f>
        <v>3</v>
      </c>
      <c r="AI29" s="0" t="n">
        <f aca="false">MAX(0,Assumptions!$B$10-Assumptions!$B$24)*Assumptions!$B$25</f>
        <v>0</v>
      </c>
      <c r="AJ29" s="1" t="n">
        <f aca="false">F29+Assumptions!$B$27+(-PV(Assumptions!$B$3,H29-1,G29))</f>
        <v>19031.2046406805</v>
      </c>
      <c r="AK29" s="0" t="n">
        <f aca="false">CEILING(C29/AH29,1)</f>
        <v>1</v>
      </c>
      <c r="AL29" s="0" t="n">
        <f aca="false">(1+Assumptions!$B$26)/POWER(1+Assumptions!$B$2,AH29)</f>
        <v>0.906135810905202</v>
      </c>
      <c r="AM29" s="0" t="n">
        <f aca="false">IF(ABS(1-AL29)&lt;0.000000000001,AK29,(1-POWER(AL29,AK29))/(1-AL29))</f>
        <v>1</v>
      </c>
      <c r="AN29" s="0" t="n">
        <f aca="false">1/POWER(1+Assumptions!$B$2,AH29)</f>
        <v>0.871284433562695</v>
      </c>
      <c r="AO29" s="0" t="n">
        <f aca="false">IF(ABS(1-AN29)&lt;0.000000000001,AK29,AN29*(1-POWER(AN29,AK29))/(1-AN29))</f>
        <v>0.871284433562695</v>
      </c>
      <c r="AP29" s="1" t="n">
        <f aca="false">AJ29*AM29+Assumptions!$B$28*AO29+(-PV(Assumptions!$B$2,C29,R29+T29+AI29))</f>
        <v>26768.8068367457</v>
      </c>
      <c r="AQ29" s="0" t="n">
        <f aca="false">N29*(1+Assumptions!$B$8)</f>
        <v>25767.819</v>
      </c>
      <c r="AR29" s="1" t="n">
        <f aca="false">PMT(Assumptions!$B$5,Assumptions!$B$29,-AQ29)</f>
        <v>795.517634049986</v>
      </c>
      <c r="AS29" s="0" t="n">
        <f aca="false">MAX(0,AD29-H29)</f>
        <v>0</v>
      </c>
      <c r="AT29" s="0" t="n">
        <f aca="false">MIN(Assumptions!$B$29,AS29)</f>
        <v>0</v>
      </c>
      <c r="AU29" s="1" t="n">
        <f aca="false">IF(AS29&gt;=Assumptions!$B$29,0,-PV(Assumptions!$B$5,Assumptions!$B$29-AS29,AR29))</f>
        <v>25767.8189999999</v>
      </c>
      <c r="AV29" s="1" t="n">
        <f aca="false">(-PV(Assumptions!$B$3,AT29,AR29))/POWER(1+Assumptions!$B$2,AH29)</f>
        <v>0</v>
      </c>
      <c r="AW29" s="1" t="n">
        <f aca="false">-PV(Assumptions!$B$2,AH29,T29+AI29)</f>
        <v>5318.41766002654</v>
      </c>
      <c r="AX29" s="1" t="n">
        <f aca="false">(-PV(Assumptions!$B$2,C29,S29))-(-PV(Assumptions!$B$2,AH29,S29))</f>
        <v>0</v>
      </c>
      <c r="AY29" s="1" t="n">
        <f aca="false">AJ29+AW29+AX29+(-PV(Assumptions!$B$2,C29,R29))+X29-(W29/POWER(1+Assumptions!$B$2,C29))</f>
        <v>-68.9494904543826</v>
      </c>
      <c r="AZ29" s="1" t="n">
        <f aca="false">AY29+AV29+(AU29/POWER(1+Assumptions!$B$2,C29))</f>
        <v>22382.1500911065</v>
      </c>
      <c r="BA29" s="0" t="n">
        <f aca="false">AQ29/POWER(1+Assumptions!$B$2,AH29)</f>
        <v>22451.099581561</v>
      </c>
      <c r="BB29" s="1" t="n">
        <f aca="false">AY29+BA29</f>
        <v>22382.1500911067</v>
      </c>
      <c r="BC29" s="1" t="n">
        <f aca="false">AJ29+Assumptions!$B$28/POWER(1+Assumptions!$B$2,AH29)+(-PV(Assumptions!$B$2,AH29,R29+T29+AI29))</f>
        <v>26768.8068367457</v>
      </c>
      <c r="BD29" s="1" t="n">
        <f aca="false">MIN(Z29,AG29,AZ29)</f>
        <v>22382.1500911065</v>
      </c>
      <c r="BE29" s="0" t="str">
        <f aca="false">IF(BD29=Z29,"Cash",IF(BD29=AG29,"Loan","Lease then buy out"))</f>
        <v>Lease then buy out</v>
      </c>
    </row>
    <row r="30" customFormat="false" ht="15" hidden="false" customHeight="false" outlineLevel="0" collapsed="false">
      <c r="A30" s="0" t="s">
        <v>78</v>
      </c>
      <c r="B30" s="0" t="s">
        <v>79</v>
      </c>
      <c r="C30" s="0" t="n">
        <v>3</v>
      </c>
      <c r="D30" s="0" t="n">
        <v>0</v>
      </c>
      <c r="E30" s="0" t="n">
        <v>42080</v>
      </c>
      <c r="F30" s="0" t="n">
        <v>3010</v>
      </c>
      <c r="G30" s="0" t="n">
        <v>510</v>
      </c>
      <c r="H30" s="0" t="n">
        <v>36</v>
      </c>
      <c r="I30" s="0" t="n">
        <v>28</v>
      </c>
      <c r="J30" s="0" t="n">
        <v>15798</v>
      </c>
      <c r="K30" s="0" t="s">
        <v>35</v>
      </c>
      <c r="L30" s="0" t="n">
        <v>142.9</v>
      </c>
      <c r="M30" s="0" t="n">
        <f aca="false">MAX(Assumptions!$B$33,Assumptions!$B$30-Assumptions!$B$31*(H30-36)-IF(D30=1,Assumptions!$B$32,0))</f>
        <v>0.57</v>
      </c>
      <c r="N30" s="0" t="n">
        <f aca="false">E30*M30</f>
        <v>23985.6</v>
      </c>
      <c r="O30" s="0" t="n">
        <f aca="false">1-POWER(J30/E30,0.1)</f>
        <v>0.0933229188545778</v>
      </c>
      <c r="P30" s="0" t="n">
        <f aca="false">E30*(1+Assumptions!$B$8)+Assumptions!$B$9</f>
        <v>44584</v>
      </c>
      <c r="Q30" s="0" t="n">
        <f aca="false">IF(D30=1,Assumptions!$B$14*33.7,Assumptions!$B$13)</f>
        <v>3.1</v>
      </c>
      <c r="R30" s="0" t="n">
        <f aca="false">(Assumptions!$B$10/I30)*Q30</f>
        <v>1107.14285714286</v>
      </c>
      <c r="S30" s="0" t="n">
        <f aca="false">Assumptions!$B$15+Assumptions!$B$17</f>
        <v>1750</v>
      </c>
      <c r="T30" s="0" t="n">
        <f aca="false">Assumptions!$B$15*(1+Assumptions!$B$16)+Assumptions!$B$17</f>
        <v>1942</v>
      </c>
      <c r="U30" s="0" t="n">
        <f aca="false">IF(OR(C30&gt;Assumptions!$B$11,Assumptions!$B$10*C30&gt;Assumptions!$B$12),1,0)</f>
        <v>0</v>
      </c>
      <c r="V30" s="0" t="n">
        <f aca="false">MAX(0.6,1-Assumptions!$B$22*MAX(0,(Assumptions!$B$10-10000)*C30)/10000)</f>
        <v>1</v>
      </c>
      <c r="W30" s="0" t="n">
        <f aca="false">IF(U30=1,Assumptions!$B$23,MAX(Assumptions!$B$23,E30*POWER(1-O30,C30)*V30))</f>
        <v>31364.1588419566</v>
      </c>
      <c r="X30" s="0" t="n">
        <f aca="true">SUMPRODUCT((ROW(INDIRECT("1:"&amp;C30))&gt;Assumptions!$B$20)*Assumptions!$B$18*POWER(Assumptions!$B$19,ROW(INDIRECT("1:"&amp;C30))-Assumptions!$B$20-1)*IF(ROW(INDIRECT("1:"&amp;C30))&gt;Assumptions!$B$11,Assumptions!$B$21,1)/POWER(1+Assumptions!$B$2,ROW(INDIRECT("1:"&amp;C30))))</f>
        <v>0</v>
      </c>
      <c r="Y30" s="1" t="n">
        <f aca="false">-PV(Assumptions!$B$2,C30,R30+S30)+X30</f>
        <v>7824.65449466903</v>
      </c>
      <c r="Z30" s="1" t="n">
        <f aca="false">P30+Y30-(W30/POWER(1+Assumptions!$B$2,C30))</f>
        <v>25081.5511238845</v>
      </c>
      <c r="AA30" s="0" t="n">
        <f aca="false">P30*Assumptions!$B$7</f>
        <v>4458.4</v>
      </c>
      <c r="AB30" s="0" t="n">
        <f aca="false">P30-AA30</f>
        <v>40125.6</v>
      </c>
      <c r="AC30" s="1" t="n">
        <f aca="false">PMT(Assumptions!$B$5,Assumptions!$B$6,-AB30)</f>
        <v>794.345672524819</v>
      </c>
      <c r="AD30" s="0" t="n">
        <f aca="false">C30*12</f>
        <v>36</v>
      </c>
      <c r="AE30" s="0" t="n">
        <f aca="false">MIN(Assumptions!$B$6,AD30)</f>
        <v>36</v>
      </c>
      <c r="AF30" s="1" t="n">
        <f aca="false">IF(AD30&gt;=Assumptions!$B$6,0,-PV(Assumptions!$B$5,Assumptions!$B$6-AD30,AC30))</f>
        <v>17743.5860303277</v>
      </c>
      <c r="AG30" s="1" t="n">
        <f aca="false">AA30+(-PV(Assumptions!$B$3,AE30,AC30))+Y30-((W30-AF30)/POWER(1+Assumptions!$B$2,C30))</f>
        <v>27039.0459226311</v>
      </c>
      <c r="AH30" s="0" t="n">
        <f aca="false">H30/12</f>
        <v>3</v>
      </c>
      <c r="AI30" s="0" t="n">
        <f aca="false">MAX(0,Assumptions!$B$10-Assumptions!$B$24)*Assumptions!$B$25</f>
        <v>0</v>
      </c>
      <c r="AJ30" s="1" t="n">
        <f aca="false">F30+Assumptions!$B$27+(-PV(Assumptions!$B$3,H30-1,G30))</f>
        <v>20360.1694003349</v>
      </c>
      <c r="AK30" s="0" t="n">
        <f aca="false">CEILING(C30/AH30,1)</f>
        <v>1</v>
      </c>
      <c r="AL30" s="0" t="n">
        <f aca="false">(1+Assumptions!$B$26)/POWER(1+Assumptions!$B$2,AH30)</f>
        <v>0.906135810905202</v>
      </c>
      <c r="AM30" s="0" t="n">
        <f aca="false">IF(ABS(1-AL30)&lt;0.000000000001,AK30,(1-POWER(AL30,AK30))/(1-AL30))</f>
        <v>1</v>
      </c>
      <c r="AN30" s="0" t="n">
        <f aca="false">1/POWER(1+Assumptions!$B$2,AH30)</f>
        <v>0.871284433562695</v>
      </c>
      <c r="AO30" s="0" t="n">
        <f aca="false">IF(ABS(1-AN30)&lt;0.000000000001,AK30,AN30*(1-POWER(AN30,AK30))/(1-AN30))</f>
        <v>0.871284433562695</v>
      </c>
      <c r="AP30" s="1" t="n">
        <f aca="false">AJ30*AM30+Assumptions!$B$28*AO30+(-PV(Assumptions!$B$2,C30,R30+T30+AI30))</f>
        <v>29059.1544504708</v>
      </c>
      <c r="AQ30" s="0" t="n">
        <f aca="false">N30*(1+Assumptions!$B$8)</f>
        <v>25184.88</v>
      </c>
      <c r="AR30" s="1" t="n">
        <f aca="false">PMT(Assumptions!$B$5,Assumptions!$B$29,-AQ30)</f>
        <v>777.520835249301</v>
      </c>
      <c r="AS30" s="0" t="n">
        <f aca="false">MAX(0,AD30-H30)</f>
        <v>0</v>
      </c>
      <c r="AT30" s="0" t="n">
        <f aca="false">MIN(Assumptions!$B$29,AS30)</f>
        <v>0</v>
      </c>
      <c r="AU30" s="1" t="n">
        <f aca="false">IF(AS30&gt;=Assumptions!$B$29,0,-PV(Assumptions!$B$5,Assumptions!$B$29-AS30,AR30))</f>
        <v>25184.8799999999</v>
      </c>
      <c r="AV30" s="1" t="n">
        <f aca="false">(-PV(Assumptions!$B$3,AT30,AR30))/POWER(1+Assumptions!$B$2,AH30)</f>
        <v>0</v>
      </c>
      <c r="AW30" s="1" t="n">
        <f aca="false">-PV(Assumptions!$B$2,AH30,T30+AI30)</f>
        <v>5318.41766002654</v>
      </c>
      <c r="AX30" s="1" t="n">
        <f aca="false">(-PV(Assumptions!$B$2,C30,S30))-(-PV(Assumptions!$B$2,AH30,S30))</f>
        <v>0</v>
      </c>
      <c r="AY30" s="1" t="n">
        <f aca="false">AJ30+AW30+AX30+(-PV(Assumptions!$B$2,C30,R30))+X30-(W30/POWER(1+Assumptions!$B$2,C30))</f>
        <v>1383.53730626116</v>
      </c>
      <c r="AZ30" s="1" t="n">
        <f aca="false">AY30+AV30+(AU30/POWER(1+Assumptions!$B$2,C30))</f>
        <v>23326.7312114055</v>
      </c>
      <c r="BA30" s="0" t="n">
        <f aca="false">AQ30/POWER(1+Assumptions!$B$2,AH30)</f>
        <v>21943.1939051444</v>
      </c>
      <c r="BB30" s="1" t="n">
        <f aca="false">AY30+BA30</f>
        <v>23326.7312114056</v>
      </c>
      <c r="BC30" s="1" t="n">
        <f aca="false">AJ30+Assumptions!$B$28/POWER(1+Assumptions!$B$2,AH30)+(-PV(Assumptions!$B$2,AH30,R30+T30+AI30))</f>
        <v>29059.1544504708</v>
      </c>
      <c r="BD30" s="1" t="n">
        <f aca="false">MIN(Z30,AG30,AZ30)</f>
        <v>23326.7312114055</v>
      </c>
      <c r="BE30" s="0" t="str">
        <f aca="false">IF(BD30=Z30,"Cash",IF(BD30=AG30,"Loan","Lease then buy out"))</f>
        <v>Lease then buy out</v>
      </c>
    </row>
    <row r="31" customFormat="false" ht="15" hidden="false" customHeight="false" outlineLevel="0" collapsed="false">
      <c r="A31" s="0" t="s">
        <v>80</v>
      </c>
      <c r="B31" s="0" t="s">
        <v>81</v>
      </c>
      <c r="C31" s="0" t="n">
        <v>3</v>
      </c>
      <c r="D31" s="0" t="n">
        <v>0</v>
      </c>
      <c r="E31" s="0" t="n">
        <v>46900</v>
      </c>
      <c r="F31" s="0" t="n">
        <v>4399</v>
      </c>
      <c r="G31" s="0" t="n">
        <v>599</v>
      </c>
      <c r="H31" s="0" t="n">
        <v>36</v>
      </c>
      <c r="I31" s="0" t="n">
        <v>26</v>
      </c>
      <c r="J31" s="0" t="n">
        <v>15219</v>
      </c>
      <c r="K31" s="0" t="s">
        <v>35</v>
      </c>
      <c r="L31" s="0" t="n">
        <v>163.3</v>
      </c>
      <c r="M31" s="0" t="n">
        <f aca="false">MAX(Assumptions!$B$33,Assumptions!$B$30-Assumptions!$B$31*(H31-36)-IF(D31=1,Assumptions!$B$32,0))</f>
        <v>0.57</v>
      </c>
      <c r="N31" s="0" t="n">
        <f aca="false">E31*M31</f>
        <v>26733</v>
      </c>
      <c r="O31" s="0" t="n">
        <f aca="false">1-POWER(J31/E31,0.1)</f>
        <v>0.106444921566187</v>
      </c>
      <c r="P31" s="0" t="n">
        <f aca="false">E31*(1+Assumptions!$B$8)+Assumptions!$B$9</f>
        <v>49645</v>
      </c>
      <c r="Q31" s="0" t="n">
        <f aca="false">IF(D31=1,Assumptions!$B$14*33.7,Assumptions!$B$13)</f>
        <v>3.1</v>
      </c>
      <c r="R31" s="0" t="n">
        <f aca="false">(Assumptions!$B$10/I31)*Q31</f>
        <v>1192.30769230769</v>
      </c>
      <c r="S31" s="0" t="n">
        <f aca="false">Assumptions!$B$15+Assumptions!$B$17</f>
        <v>1750</v>
      </c>
      <c r="T31" s="0" t="n">
        <f aca="false">Assumptions!$B$15*(1+Assumptions!$B$16)+Assumptions!$B$17</f>
        <v>1942</v>
      </c>
      <c r="U31" s="0" t="n">
        <f aca="false">IF(OR(C31&gt;Assumptions!$B$11,Assumptions!$B$10*C31&gt;Assumptions!$B$12),1,0)</f>
        <v>0</v>
      </c>
      <c r="V31" s="0" t="n">
        <f aca="false">MAX(0.6,1-Assumptions!$B$22*MAX(0,(Assumptions!$B$10-10000)*C31)/10000)</f>
        <v>1</v>
      </c>
      <c r="W31" s="0" t="n">
        <f aca="false">IF(U31=1,Assumptions!$B$23,MAX(Assumptions!$B$23,E31*POWER(1-O31,C31)*V31))</f>
        <v>33460.8389006873</v>
      </c>
      <c r="X31" s="0" t="n">
        <f aca="true">SUMPRODUCT((ROW(INDIRECT("1:"&amp;C31))&gt;Assumptions!$B$20)*Assumptions!$B$18*POWER(Assumptions!$B$19,ROW(INDIRECT("1:"&amp;C31))-Assumptions!$B$20-1)*IF(ROW(INDIRECT("1:"&amp;C31))&gt;Assumptions!$B$11,Assumptions!$B$21,1)/POWER(1+Assumptions!$B$2,ROW(INDIRECT("1:"&amp;C31))))</f>
        <v>0</v>
      </c>
      <c r="Y31" s="1" t="n">
        <f aca="false">-PV(Assumptions!$B$2,C31,R31+S31)+X31</f>
        <v>8057.88938826013</v>
      </c>
      <c r="Z31" s="1" t="n">
        <f aca="false">P31+Y31-(W31/POWER(1+Assumptions!$B$2,C31))</f>
        <v>28548.9813201423</v>
      </c>
      <c r="AA31" s="0" t="n">
        <f aca="false">P31*Assumptions!$B$7</f>
        <v>4964.5</v>
      </c>
      <c r="AB31" s="0" t="n">
        <f aca="false">P31-AA31</f>
        <v>44680.5</v>
      </c>
      <c r="AC31" s="1" t="n">
        <f aca="false">PMT(Assumptions!$B$5,Assumptions!$B$6,-AB31)</f>
        <v>884.516663208654</v>
      </c>
      <c r="AD31" s="0" t="n">
        <f aca="false">C31*12</f>
        <v>36</v>
      </c>
      <c r="AE31" s="0" t="n">
        <f aca="false">MIN(Assumptions!$B$6,AD31)</f>
        <v>36</v>
      </c>
      <c r="AF31" s="1" t="n">
        <f aca="false">IF(AD31&gt;=Assumptions!$B$6,0,-PV(Assumptions!$B$5,Assumptions!$B$6-AD31,AC31))</f>
        <v>19757.7679991839</v>
      </c>
      <c r="AG31" s="1" t="n">
        <f aca="false">AA31+(-PV(Assumptions!$B$3,AE31,AC31))+Y31-((W31-AF31)/POWER(1+Assumptions!$B$2,C31))</f>
        <v>30728.6832150771</v>
      </c>
      <c r="AH31" s="0" t="n">
        <f aca="false">H31/12</f>
        <v>3</v>
      </c>
      <c r="AI31" s="0" t="n">
        <f aca="false">MAX(0,Assumptions!$B$10-Assumptions!$B$24)*Assumptions!$B$25</f>
        <v>0</v>
      </c>
      <c r="AJ31" s="1" t="n">
        <f aca="false">F31+Assumptions!$B$27+(-PV(Assumptions!$B$3,H31-1,G31))</f>
        <v>24654.7871976483</v>
      </c>
      <c r="AK31" s="0" t="n">
        <f aca="false">CEILING(C31/AH31,1)</f>
        <v>1</v>
      </c>
      <c r="AL31" s="0" t="n">
        <f aca="false">(1+Assumptions!$B$26)/POWER(1+Assumptions!$B$2,AH31)</f>
        <v>0.906135810905202</v>
      </c>
      <c r="AM31" s="0" t="n">
        <f aca="false">IF(ABS(1-AL31)&lt;0.000000000001,AK31,(1-POWER(AL31,AK31))/(1-AL31))</f>
        <v>1</v>
      </c>
      <c r="AN31" s="0" t="n">
        <f aca="false">1/POWER(1+Assumptions!$B$2,AH31)</f>
        <v>0.871284433562695</v>
      </c>
      <c r="AO31" s="0" t="n">
        <f aca="false">IF(ABS(1-AN31)&lt;0.000000000001,AK31,AN31*(1-POWER(AN31,AK31))/(1-AN31))</f>
        <v>0.871284433562695</v>
      </c>
      <c r="AP31" s="1" t="n">
        <f aca="false">AJ31*AM31+Assumptions!$B$28*AO31+(-PV(Assumptions!$B$2,C31,R31+T31+AI31))</f>
        <v>33587.0071413752</v>
      </c>
      <c r="AQ31" s="0" t="n">
        <f aca="false">N31*(1+Assumptions!$B$8)</f>
        <v>28069.65</v>
      </c>
      <c r="AR31" s="1" t="n">
        <f aca="false">PMT(Assumptions!$B$5,Assumptions!$B$29,-AQ31)</f>
        <v>866.580968944682</v>
      </c>
      <c r="AS31" s="0" t="n">
        <f aca="false">MAX(0,AD31-H31)</f>
        <v>0</v>
      </c>
      <c r="AT31" s="0" t="n">
        <f aca="false">MIN(Assumptions!$B$29,AS31)</f>
        <v>0</v>
      </c>
      <c r="AU31" s="1" t="n">
        <f aca="false">IF(AS31&gt;=Assumptions!$B$29,0,-PV(Assumptions!$B$5,Assumptions!$B$29-AS31,AR31))</f>
        <v>28069.6499999999</v>
      </c>
      <c r="AV31" s="1" t="n">
        <f aca="false">(-PV(Assumptions!$B$3,AT31,AR31))/POWER(1+Assumptions!$B$2,AH31)</f>
        <v>0</v>
      </c>
      <c r="AW31" s="1" t="n">
        <f aca="false">-PV(Assumptions!$B$2,AH31,T31+AI31)</f>
        <v>5318.41766002654</v>
      </c>
      <c r="AX31" s="1" t="n">
        <f aca="false">(-PV(Assumptions!$B$2,C31,S31))-(-PV(Assumptions!$B$2,AH31,S31))</f>
        <v>0</v>
      </c>
      <c r="AY31" s="1" t="n">
        <f aca="false">AJ31+AW31+AX31+(-PV(Assumptions!$B$2,C31,R31))+X31-(W31/POWER(1+Assumptions!$B$2,C31))</f>
        <v>4084.58529983228</v>
      </c>
      <c r="AZ31" s="1" t="n">
        <f aca="false">AY31+AV31+(AU31/POWER(1+Assumptions!$B$2,C31))</f>
        <v>28541.2344003853</v>
      </c>
      <c r="BA31" s="0" t="n">
        <f aca="false">AQ31/POWER(1+Assumptions!$B$2,AH31)</f>
        <v>24456.6491005531</v>
      </c>
      <c r="BB31" s="1" t="n">
        <f aca="false">AY31+BA31</f>
        <v>28541.2344003854</v>
      </c>
      <c r="BC31" s="1" t="n">
        <f aca="false">AJ31+Assumptions!$B$28/POWER(1+Assumptions!$B$2,AH31)+(-PV(Assumptions!$B$2,AH31,R31+T31+AI31))</f>
        <v>33587.0071413752</v>
      </c>
      <c r="BD31" s="1" t="n">
        <f aca="false">MIN(Z31,AG31,AZ31)</f>
        <v>28541.2344003853</v>
      </c>
      <c r="BE31" s="0" t="str">
        <f aca="false">IF(BD31=Z31,"Cash",IF(BD31=AG31,"Loan","Lease then buy out"))</f>
        <v>Lease then buy out</v>
      </c>
    </row>
    <row r="32" customFormat="false" ht="15" hidden="false" customHeight="false" outlineLevel="0" collapsed="false">
      <c r="A32" s="0" t="s">
        <v>82</v>
      </c>
      <c r="B32" s="0" t="s">
        <v>83</v>
      </c>
      <c r="C32" s="0" t="n">
        <v>3</v>
      </c>
      <c r="D32" s="0" t="n">
        <v>0</v>
      </c>
      <c r="E32" s="0" t="n">
        <v>46469</v>
      </c>
      <c r="F32" s="0" t="n">
        <v>3125</v>
      </c>
      <c r="G32" s="0" t="n">
        <v>625</v>
      </c>
      <c r="H32" s="0" t="n">
        <v>36</v>
      </c>
      <c r="I32" s="0" t="n">
        <v>23</v>
      </c>
      <c r="J32" s="0" t="n">
        <v>15292</v>
      </c>
      <c r="K32" s="0" t="s">
        <v>35</v>
      </c>
      <c r="L32" s="0" t="n">
        <v>164.1</v>
      </c>
      <c r="M32" s="0" t="n">
        <f aca="false">MAX(Assumptions!$B$33,Assumptions!$B$30-Assumptions!$B$31*(H32-36)-IF(D32=1,Assumptions!$B$32,0))</f>
        <v>0.57</v>
      </c>
      <c r="N32" s="0" t="n">
        <f aca="false">E32*M32</f>
        <v>26487.33</v>
      </c>
      <c r="O32" s="0" t="n">
        <f aca="false">1-POWER(J32/E32,0.1)</f>
        <v>0.105191509570265</v>
      </c>
      <c r="P32" s="0" t="n">
        <f aca="false">E32*(1+Assumptions!$B$8)+Assumptions!$B$9</f>
        <v>49192.45</v>
      </c>
      <c r="Q32" s="0" t="n">
        <f aca="false">IF(D32=1,Assumptions!$B$14*33.7,Assumptions!$B$13)</f>
        <v>3.1</v>
      </c>
      <c r="R32" s="0" t="n">
        <f aca="false">(Assumptions!$B$10/I32)*Q32</f>
        <v>1347.82608695652</v>
      </c>
      <c r="S32" s="0" t="n">
        <f aca="false">Assumptions!$B$15+Assumptions!$B$17</f>
        <v>1750</v>
      </c>
      <c r="T32" s="0" t="n">
        <f aca="false">Assumptions!$B$15*(1+Assumptions!$B$16)+Assumptions!$B$17</f>
        <v>1942</v>
      </c>
      <c r="U32" s="0" t="n">
        <f aca="false">IF(OR(C32&gt;Assumptions!$B$11,Assumptions!$B$10*C32&gt;Assumptions!$B$12),1,0)</f>
        <v>0</v>
      </c>
      <c r="V32" s="0" t="n">
        <f aca="false">MAX(0.6,1-Assumptions!$B$22*MAX(0,(Assumptions!$B$10-10000)*C32)/10000)</f>
        <v>1</v>
      </c>
      <c r="W32" s="0" t="n">
        <f aca="false">IF(U32=1,Assumptions!$B$23,MAX(Assumptions!$B$23,E32*POWER(1-O32,C32)*V32))</f>
        <v>33293.052489627</v>
      </c>
      <c r="X32" s="0" t="n">
        <f aca="true">SUMPRODUCT((ROW(INDIRECT("1:"&amp;C32))&gt;Assumptions!$B$20)*Assumptions!$B$18*POWER(Assumptions!$B$19,ROW(INDIRECT("1:"&amp;C32))-Assumptions!$B$20-1)*IF(ROW(INDIRECT("1:"&amp;C32))&gt;Assumptions!$B$11,Assumptions!$B$21,1)/POWER(1+Assumptions!$B$2,ROW(INDIRECT("1:"&amp;C32))))</f>
        <v>0</v>
      </c>
      <c r="Y32" s="1" t="n">
        <f aca="false">-PV(Assumptions!$B$2,C32,R32+S32)+X32</f>
        <v>8483.79658525256</v>
      </c>
      <c r="Z32" s="1" t="n">
        <f aca="false">P32+Y32-(W32/POWER(1+Assumptions!$B$2,C32))</f>
        <v>28668.5282052548</v>
      </c>
      <c r="AA32" s="0" t="n">
        <f aca="false">P32*Assumptions!$B$7</f>
        <v>4919.245</v>
      </c>
      <c r="AB32" s="0" t="n">
        <f aca="false">P32-AA32</f>
        <v>44273.205</v>
      </c>
      <c r="AC32" s="1" t="n">
        <f aca="false">PMT(Assumptions!$B$5,Assumptions!$B$6,-AB32)</f>
        <v>876.453655535473</v>
      </c>
      <c r="AD32" s="0" t="n">
        <f aca="false">C32*12</f>
        <v>36</v>
      </c>
      <c r="AE32" s="0" t="n">
        <f aca="false">MIN(Assumptions!$B$6,AD32)</f>
        <v>36</v>
      </c>
      <c r="AF32" s="1" t="n">
        <f aca="false">IF(AD32&gt;=Assumptions!$B$6,0,-PV(Assumptions!$B$5,Assumptions!$B$6-AD32,AC32))</f>
        <v>19577.6616862012</v>
      </c>
      <c r="AG32" s="1" t="n">
        <f aca="false">AA32+(-PV(Assumptions!$B$3,AE32,AC32))+Y32-((W32-AF32)/POWER(1+Assumptions!$B$2,C32))</f>
        <v>30828.3605444931</v>
      </c>
      <c r="AH32" s="0" t="n">
        <f aca="false">H32/12</f>
        <v>3</v>
      </c>
      <c r="AI32" s="0" t="n">
        <f aca="false">MAX(0,Assumptions!$B$10-Assumptions!$B$24)*Assumptions!$B$25</f>
        <v>0</v>
      </c>
      <c r="AJ32" s="1" t="n">
        <f aca="false">F32+Assumptions!$B$27+(-PV(Assumptions!$B$3,H32-1,G32))</f>
        <v>24229.6193631555</v>
      </c>
      <c r="AK32" s="0" t="n">
        <f aca="false">CEILING(C32/AH32,1)</f>
        <v>1</v>
      </c>
      <c r="AL32" s="0" t="n">
        <f aca="false">(1+Assumptions!$B$26)/POWER(1+Assumptions!$B$2,AH32)</f>
        <v>0.906135810905202</v>
      </c>
      <c r="AM32" s="0" t="n">
        <f aca="false">IF(ABS(1-AL32)&lt;0.000000000001,AK32,(1-POWER(AL32,AK32))/(1-AL32))</f>
        <v>1</v>
      </c>
      <c r="AN32" s="0" t="n">
        <f aca="false">1/POWER(1+Assumptions!$B$2,AH32)</f>
        <v>0.871284433562695</v>
      </c>
      <c r="AO32" s="0" t="n">
        <f aca="false">IF(ABS(1-AN32)&lt;0.000000000001,AK32,AN32*(1-POWER(AN32,AK32))/(1-AN32))</f>
        <v>0.871284433562695</v>
      </c>
      <c r="AP32" s="1" t="n">
        <f aca="false">AJ32*AM32+Assumptions!$B$28*AO32+(-PV(Assumptions!$B$2,C32,R32+T32+AI32))</f>
        <v>33587.746503875</v>
      </c>
      <c r="AQ32" s="0" t="n">
        <f aca="false">N32*(1+Assumptions!$B$8)</f>
        <v>27811.6965</v>
      </c>
      <c r="AR32" s="1" t="n">
        <f aca="false">PMT(Assumptions!$B$5,Assumptions!$B$29,-AQ32)</f>
        <v>858.617293089348</v>
      </c>
      <c r="AS32" s="0" t="n">
        <f aca="false">MAX(0,AD32-H32)</f>
        <v>0</v>
      </c>
      <c r="AT32" s="0" t="n">
        <f aca="false">MIN(Assumptions!$B$29,AS32)</f>
        <v>0</v>
      </c>
      <c r="AU32" s="1" t="n">
        <f aca="false">IF(AS32&gt;=Assumptions!$B$29,0,-PV(Assumptions!$B$5,Assumptions!$B$29-AS32,AR32))</f>
        <v>27811.6964999999</v>
      </c>
      <c r="AV32" s="1" t="n">
        <f aca="false">(-PV(Assumptions!$B$3,AT32,AR32))/POWER(1+Assumptions!$B$2,AH32)</f>
        <v>0</v>
      </c>
      <c r="AW32" s="1" t="n">
        <f aca="false">-PV(Assumptions!$B$2,AH32,T32+AI32)</f>
        <v>5318.41766002654</v>
      </c>
      <c r="AX32" s="1" t="n">
        <f aca="false">(-PV(Assumptions!$B$2,C32,S32))-(-PV(Assumptions!$B$2,AH32,S32))</f>
        <v>0</v>
      </c>
      <c r="AY32" s="1" t="n">
        <f aca="false">AJ32+AW32+AX32+(-PV(Assumptions!$B$2,C32,R32))+X32-(W32/POWER(1+Assumptions!$B$2,C32))</f>
        <v>4231.51435045213</v>
      </c>
      <c r="AZ32" s="1" t="n">
        <f aca="false">AY32+AV32+(AU32/POWER(1+Assumptions!$B$2,C32))</f>
        <v>28463.4125818721</v>
      </c>
      <c r="BA32" s="0" t="n">
        <f aca="false">AQ32/POWER(1+Assumptions!$B$2,AH32)</f>
        <v>24231.8982314201</v>
      </c>
      <c r="BB32" s="1" t="n">
        <f aca="false">AY32+BA32</f>
        <v>28463.4125818722</v>
      </c>
      <c r="BC32" s="1" t="n">
        <f aca="false">AJ32+Assumptions!$B$28/POWER(1+Assumptions!$B$2,AH32)+(-PV(Assumptions!$B$2,AH32,R32+T32+AI32))</f>
        <v>33587.746503875</v>
      </c>
      <c r="BD32" s="1" t="n">
        <f aca="false">MIN(Z32,AG32,AZ32)</f>
        <v>28463.4125818721</v>
      </c>
      <c r="BE32" s="0" t="str">
        <f aca="false">IF(BD32=Z32,"Cash",IF(BD32=AG32,"Loan","Lease then buy out"))</f>
        <v>Lease then buy out</v>
      </c>
    </row>
    <row r="33" customFormat="false" ht="15" hidden="false" customHeight="false" outlineLevel="0" collapsed="false">
      <c r="A33" s="0" t="s">
        <v>84</v>
      </c>
      <c r="B33" s="0" t="s">
        <v>85</v>
      </c>
      <c r="C33" s="0" t="n">
        <v>3</v>
      </c>
      <c r="D33" s="0" t="n">
        <v>0</v>
      </c>
      <c r="E33" s="0" t="n">
        <v>49687</v>
      </c>
      <c r="F33" s="0" t="n">
        <v>3201</v>
      </c>
      <c r="G33" s="0" t="n">
        <v>701</v>
      </c>
      <c r="H33" s="0" t="n">
        <v>36</v>
      </c>
      <c r="I33" s="0" t="n">
        <v>28</v>
      </c>
      <c r="J33" s="0" t="n">
        <v>18823</v>
      </c>
      <c r="K33" s="0" t="s">
        <v>35</v>
      </c>
      <c r="L33" s="0" t="n">
        <v>153.5</v>
      </c>
      <c r="M33" s="0" t="n">
        <f aca="false">MAX(Assumptions!$B$33,Assumptions!$B$30-Assumptions!$B$31*(H33-36)-IF(D33=1,Assumptions!$B$32,0))</f>
        <v>0.57</v>
      </c>
      <c r="N33" s="0" t="n">
        <f aca="false">E33*M33</f>
        <v>28321.59</v>
      </c>
      <c r="O33" s="0" t="n">
        <f aca="false">1-POWER(J33/E33,0.1)</f>
        <v>0.0925042357189116</v>
      </c>
      <c r="P33" s="0" t="n">
        <f aca="false">E33*(1+Assumptions!$B$8)+Assumptions!$B$9</f>
        <v>52571.35</v>
      </c>
      <c r="Q33" s="0" t="n">
        <f aca="false">IF(D33=1,Assumptions!$B$14*33.7,Assumptions!$B$13)</f>
        <v>3.1</v>
      </c>
      <c r="R33" s="0" t="n">
        <f aca="false">(Assumptions!$B$10/I33)*Q33</f>
        <v>1107.14285714286</v>
      </c>
      <c r="S33" s="0" t="n">
        <f aca="false">Assumptions!$B$15+Assumptions!$B$17</f>
        <v>1750</v>
      </c>
      <c r="T33" s="0" t="n">
        <f aca="false">Assumptions!$B$15*(1+Assumptions!$B$16)+Assumptions!$B$17</f>
        <v>1942</v>
      </c>
      <c r="U33" s="0" t="n">
        <f aca="false">IF(OR(C33&gt;Assumptions!$B$11,Assumptions!$B$10*C33&gt;Assumptions!$B$12),1,0)</f>
        <v>0</v>
      </c>
      <c r="V33" s="0" t="n">
        <f aca="false">MAX(0.6,1-Assumptions!$B$22*MAX(0,(Assumptions!$B$10-10000)*C33)/10000)</f>
        <v>1</v>
      </c>
      <c r="W33" s="0" t="n">
        <f aca="false">IF(U33=1,Assumptions!$B$23,MAX(Assumptions!$B$23,E33*POWER(1-O33,C33)*V33))</f>
        <v>37134.4157749009</v>
      </c>
      <c r="X33" s="0" t="n">
        <f aca="true">SUMPRODUCT((ROW(INDIRECT("1:"&amp;C33))&gt;Assumptions!$B$20)*Assumptions!$B$18*POWER(Assumptions!$B$19,ROW(INDIRECT("1:"&amp;C33))-Assumptions!$B$20-1)*IF(ROW(INDIRECT("1:"&amp;C33))&gt;Assumptions!$B$11,Assumptions!$B$21,1)/POWER(1+Assumptions!$B$2,ROW(INDIRECT("1:"&amp;C33))))</f>
        <v>0</v>
      </c>
      <c r="Y33" s="1" t="n">
        <f aca="false">-PV(Assumptions!$B$2,C33,R33+S33)+X33</f>
        <v>7824.65449466903</v>
      </c>
      <c r="Z33" s="1" t="n">
        <f aca="false">P33+Y33-(W33/POWER(1+Assumptions!$B$2,C33))</f>
        <v>28041.3660805529</v>
      </c>
      <c r="AA33" s="0" t="n">
        <f aca="false">P33*Assumptions!$B$7</f>
        <v>5257.135</v>
      </c>
      <c r="AB33" s="0" t="n">
        <f aca="false">P33-AA33</f>
        <v>47314.215</v>
      </c>
      <c r="AC33" s="1" t="n">
        <f aca="false">PMT(Assumptions!$B$5,Assumptions!$B$6,-AB33)</f>
        <v>936.654951805303</v>
      </c>
      <c r="AD33" s="0" t="n">
        <f aca="false">C33*12</f>
        <v>36</v>
      </c>
      <c r="AE33" s="0" t="n">
        <f aca="false">MIN(Assumptions!$B$6,AD33)</f>
        <v>36</v>
      </c>
      <c r="AF33" s="1" t="n">
        <f aca="false">IF(AD33&gt;=Assumptions!$B$6,0,-PV(Assumptions!$B$5,Assumptions!$B$6-AD33,AC33))</f>
        <v>20922.3997724625</v>
      </c>
      <c r="AG33" s="1" t="n">
        <f aca="false">AA33+(-PV(Assumptions!$B$3,AE33,AC33))+Y33-((W33-AF33)/POWER(1+Assumptions!$B$2,C33))</f>
        <v>30349.5516221841</v>
      </c>
      <c r="AH33" s="0" t="n">
        <f aca="false">H33/12</f>
        <v>3</v>
      </c>
      <c r="AI33" s="0" t="n">
        <f aca="false">MAX(0,Assumptions!$B$10-Assumptions!$B$24)*Assumptions!$B$25</f>
        <v>0</v>
      </c>
      <c r="AJ33" s="1" t="n">
        <f aca="false">F33+Assumptions!$B$27+(-PV(Assumptions!$B$3,H33-1,G33))</f>
        <v>26786.8210777153</v>
      </c>
      <c r="AK33" s="0" t="n">
        <f aca="false">CEILING(C33/AH33,1)</f>
        <v>1</v>
      </c>
      <c r="AL33" s="0" t="n">
        <f aca="false">(1+Assumptions!$B$26)/POWER(1+Assumptions!$B$2,AH33)</f>
        <v>0.906135810905202</v>
      </c>
      <c r="AM33" s="0" t="n">
        <f aca="false">IF(ABS(1-AL33)&lt;0.000000000001,AK33,(1-POWER(AL33,AK33))/(1-AL33))</f>
        <v>1</v>
      </c>
      <c r="AN33" s="0" t="n">
        <f aca="false">1/POWER(1+Assumptions!$B$2,AH33)</f>
        <v>0.871284433562695</v>
      </c>
      <c r="AO33" s="0" t="n">
        <f aca="false">IF(ABS(1-AN33)&lt;0.000000000001,AK33,AN33*(1-POWER(AN33,AK33))/(1-AN33))</f>
        <v>0.871284433562695</v>
      </c>
      <c r="AP33" s="1" t="n">
        <f aca="false">AJ33*AM33+Assumptions!$B$28*AO33+(-PV(Assumptions!$B$2,C33,R33+T33+AI33))</f>
        <v>35485.8061278511</v>
      </c>
      <c r="AQ33" s="0" t="n">
        <f aca="false">N33*(1+Assumptions!$B$8)</f>
        <v>29737.6695</v>
      </c>
      <c r="AR33" s="1" t="n">
        <f aca="false">PMT(Assumptions!$B$5,Assumptions!$B$29,-AQ33)</f>
        <v>918.076942515019</v>
      </c>
      <c r="AS33" s="0" t="n">
        <f aca="false">MAX(0,AD33-H33)</f>
        <v>0</v>
      </c>
      <c r="AT33" s="0" t="n">
        <f aca="false">MIN(Assumptions!$B$29,AS33)</f>
        <v>0</v>
      </c>
      <c r="AU33" s="1" t="n">
        <f aca="false">IF(AS33&gt;=Assumptions!$B$29,0,-PV(Assumptions!$B$5,Assumptions!$B$29-AS33,AR33))</f>
        <v>29737.6694999999</v>
      </c>
      <c r="AV33" s="1" t="n">
        <f aca="false">(-PV(Assumptions!$B$3,AT33,AR33))/POWER(1+Assumptions!$B$2,AH33)</f>
        <v>0</v>
      </c>
      <c r="AW33" s="1" t="n">
        <f aca="false">-PV(Assumptions!$B$2,AH33,T33+AI33)</f>
        <v>5318.41766002654</v>
      </c>
      <c r="AX33" s="1" t="n">
        <f aca="false">(-PV(Assumptions!$B$2,C33,S33))-(-PV(Assumptions!$B$2,AH33,S33))</f>
        <v>0</v>
      </c>
      <c r="AY33" s="1" t="n">
        <f aca="false">AJ33+AW33+AX33+(-PV(Assumptions!$B$2,C33,R33))+X33-(W33/POWER(1+Assumptions!$B$2,C33))</f>
        <v>2782.65394030992</v>
      </c>
      <c r="AZ33" s="1" t="n">
        <f aca="false">AY33+AV33+(AU33/POWER(1+Assumptions!$B$2,C33))</f>
        <v>28692.6224660919</v>
      </c>
      <c r="BA33" s="0" t="n">
        <f aca="false">AQ33/POWER(1+Assumptions!$B$2,AH33)</f>
        <v>25909.9685257821</v>
      </c>
      <c r="BB33" s="1" t="n">
        <f aca="false">AY33+BA33</f>
        <v>28692.622466092</v>
      </c>
      <c r="BC33" s="1" t="n">
        <f aca="false">AJ33+Assumptions!$B$28/POWER(1+Assumptions!$B$2,AH33)+(-PV(Assumptions!$B$2,AH33,R33+T33+AI33))</f>
        <v>35485.8061278511</v>
      </c>
      <c r="BD33" s="1" t="n">
        <f aca="false">MIN(Z33,AG33,AZ33)</f>
        <v>28041.3660805529</v>
      </c>
      <c r="BE33" s="0" t="str">
        <f aca="false">IF(BD33=Z33,"Cash",IF(BD33=AG33,"Loan","Lease then buy out"))</f>
        <v>Cash</v>
      </c>
    </row>
    <row r="34" customFormat="false" ht="15" hidden="false" customHeight="false" outlineLevel="0" collapsed="false">
      <c r="A34" s="0" t="s">
        <v>86</v>
      </c>
      <c r="B34" s="0" t="s">
        <v>87</v>
      </c>
      <c r="C34" s="0" t="n">
        <v>3</v>
      </c>
      <c r="D34" s="0" t="n">
        <v>0</v>
      </c>
      <c r="E34" s="0" t="n">
        <v>44350</v>
      </c>
      <c r="F34" s="0" t="n">
        <v>5999</v>
      </c>
      <c r="G34" s="0" t="n">
        <v>459</v>
      </c>
      <c r="H34" s="0" t="n">
        <v>36</v>
      </c>
      <c r="I34" s="0" t="n">
        <v>23</v>
      </c>
      <c r="J34" s="0" t="n">
        <v>12298</v>
      </c>
      <c r="K34" s="0" t="s">
        <v>35</v>
      </c>
      <c r="L34" s="0" t="n">
        <v>155.9</v>
      </c>
      <c r="M34" s="0" t="n">
        <f aca="false">MAX(Assumptions!$B$33,Assumptions!$B$30-Assumptions!$B$31*(H34-36)-IF(D34=1,Assumptions!$B$32,0))</f>
        <v>0.57</v>
      </c>
      <c r="N34" s="0" t="n">
        <f aca="false">E34*M34</f>
        <v>25279.5</v>
      </c>
      <c r="O34" s="0" t="n">
        <f aca="false">1-POWER(J34/E34,0.1)</f>
        <v>0.120382043504781</v>
      </c>
      <c r="P34" s="0" t="n">
        <f aca="false">E34*(1+Assumptions!$B$8)+Assumptions!$B$9</f>
        <v>46967.5</v>
      </c>
      <c r="Q34" s="0" t="n">
        <f aca="false">IF(D34=1,Assumptions!$B$14*33.7,Assumptions!$B$13)</f>
        <v>3.1</v>
      </c>
      <c r="R34" s="0" t="n">
        <f aca="false">(Assumptions!$B$10/I34)*Q34</f>
        <v>1347.82608695652</v>
      </c>
      <c r="S34" s="0" t="n">
        <f aca="false">Assumptions!$B$15+Assumptions!$B$17</f>
        <v>1750</v>
      </c>
      <c r="T34" s="0" t="n">
        <f aca="false">Assumptions!$B$15*(1+Assumptions!$B$16)+Assumptions!$B$17</f>
        <v>1942</v>
      </c>
      <c r="U34" s="0" t="n">
        <f aca="false">IF(OR(C34&gt;Assumptions!$B$11,Assumptions!$B$10*C34&gt;Assumptions!$B$12),1,0)</f>
        <v>0</v>
      </c>
      <c r="V34" s="0" t="n">
        <f aca="false">MAX(0.6,1-Assumptions!$B$22*MAX(0,(Assumptions!$B$10-10000)*C34)/10000)</f>
        <v>1</v>
      </c>
      <c r="W34" s="0" t="n">
        <f aca="false">IF(U34=1,Assumptions!$B$23,MAX(Assumptions!$B$23,E34*POWER(1-O34,C34)*V34))</f>
        <v>30183.9368468763</v>
      </c>
      <c r="X34" s="0" t="n">
        <f aca="true">SUMPRODUCT((ROW(INDIRECT("1:"&amp;C34))&gt;Assumptions!$B$20)*Assumptions!$B$18*POWER(Assumptions!$B$19,ROW(INDIRECT("1:"&amp;C34))-Assumptions!$B$20-1)*IF(ROW(INDIRECT("1:"&amp;C34))&gt;Assumptions!$B$11,Assumptions!$B$21,1)/POWER(1+Assumptions!$B$2,ROW(INDIRECT("1:"&amp;C34))))</f>
        <v>0</v>
      </c>
      <c r="Y34" s="1" t="n">
        <f aca="false">-PV(Assumptions!$B$2,C34,R34+S34)+X34</f>
        <v>8483.79658525256</v>
      </c>
      <c r="Z34" s="1" t="n">
        <f aca="false">P34+Y34-(W34/POWER(1+Assumptions!$B$2,C34))</f>
        <v>29152.5022669298</v>
      </c>
      <c r="AA34" s="0" t="n">
        <f aca="false">P34*Assumptions!$B$7</f>
        <v>4696.75</v>
      </c>
      <c r="AB34" s="0" t="n">
        <f aca="false">P34-AA34</f>
        <v>42270.75</v>
      </c>
      <c r="AC34" s="1" t="n">
        <f aca="false">PMT(Assumptions!$B$5,Assumptions!$B$6,-AB34)</f>
        <v>836.812093448534</v>
      </c>
      <c r="AD34" s="0" t="n">
        <f aca="false">C34*12</f>
        <v>36</v>
      </c>
      <c r="AE34" s="0" t="n">
        <f aca="false">MIN(Assumptions!$B$6,AD34)</f>
        <v>36</v>
      </c>
      <c r="AF34" s="1" t="n">
        <f aca="false">IF(AD34&gt;=Assumptions!$B$6,0,-PV(Assumptions!$B$5,Assumptions!$B$6-AD34,AC34))</f>
        <v>18692.1738040421</v>
      </c>
      <c r="AG34" s="1" t="n">
        <f aca="false">AA34+(-PV(Assumptions!$B$3,AE34,AC34))+Y34-((W34-AF34)/POWER(1+Assumptions!$B$2,C34))</f>
        <v>31214.6464657484</v>
      </c>
      <c r="AH34" s="0" t="n">
        <f aca="false">H34/12</f>
        <v>3</v>
      </c>
      <c r="AI34" s="0" t="n">
        <f aca="false">MAX(0,Assumptions!$B$10-Assumptions!$B$24)*Assumptions!$B$25</f>
        <v>0</v>
      </c>
      <c r="AJ34" s="1" t="n">
        <f aca="false">F34+Assumptions!$B$27+(-PV(Assumptions!$B$3,H34-1,G34))</f>
        <v>21684.1524603014</v>
      </c>
      <c r="AK34" s="0" t="n">
        <f aca="false">CEILING(C34/AH34,1)</f>
        <v>1</v>
      </c>
      <c r="AL34" s="0" t="n">
        <f aca="false">(1+Assumptions!$B$26)/POWER(1+Assumptions!$B$2,AH34)</f>
        <v>0.906135810905202</v>
      </c>
      <c r="AM34" s="0" t="n">
        <f aca="false">IF(ABS(1-AL34)&lt;0.000000000001,AK34,(1-POWER(AL34,AK34))/(1-AL34))</f>
        <v>1</v>
      </c>
      <c r="AN34" s="0" t="n">
        <f aca="false">1/POWER(1+Assumptions!$B$2,AH34)</f>
        <v>0.871284433562695</v>
      </c>
      <c r="AO34" s="0" t="n">
        <f aca="false">IF(ABS(1-AN34)&lt;0.000000000001,AK34,AN34*(1-POWER(AN34,AK34))/(1-AN34))</f>
        <v>0.871284433562695</v>
      </c>
      <c r="AP34" s="1" t="n">
        <f aca="false">AJ34*AM34+Assumptions!$B$28*AO34+(-PV(Assumptions!$B$2,C34,R34+T34+AI34))</f>
        <v>31042.2796010208</v>
      </c>
      <c r="AQ34" s="0" t="n">
        <f aca="false">N34*(1+Assumptions!$B$8)</f>
        <v>26543.475</v>
      </c>
      <c r="AR34" s="1" t="n">
        <f aca="false">PMT(Assumptions!$B$5,Assumptions!$B$29,-AQ34)</f>
        <v>819.46409323447</v>
      </c>
      <c r="AS34" s="0" t="n">
        <f aca="false">MAX(0,AD34-H34)</f>
        <v>0</v>
      </c>
      <c r="AT34" s="0" t="n">
        <f aca="false">MIN(Assumptions!$B$29,AS34)</f>
        <v>0</v>
      </c>
      <c r="AU34" s="1" t="n">
        <f aca="false">IF(AS34&gt;=Assumptions!$B$29,0,-PV(Assumptions!$B$5,Assumptions!$B$29-AS34,AR34))</f>
        <v>26543.4749999999</v>
      </c>
      <c r="AV34" s="1" t="n">
        <f aca="false">(-PV(Assumptions!$B$3,AT34,AR34))/POWER(1+Assumptions!$B$2,AH34)</f>
        <v>0</v>
      </c>
      <c r="AW34" s="1" t="n">
        <f aca="false">-PV(Assumptions!$B$2,AH34,T34+AI34)</f>
        <v>5318.41766002654</v>
      </c>
      <c r="AX34" s="1" t="n">
        <f aca="false">(-PV(Assumptions!$B$2,C34,S34))-(-PV(Assumptions!$B$2,AH34,S34))</f>
        <v>0</v>
      </c>
      <c r="AY34" s="1" t="n">
        <f aca="false">AJ34+AW34+AX34+(-PV(Assumptions!$B$2,C34,R34))+X34-(W34/POWER(1+Assumptions!$B$2,C34))</f>
        <v>4394.97150927301</v>
      </c>
      <c r="AZ34" s="1" t="n">
        <f aca="false">AY34+AV34+(AU34/POWER(1+Assumptions!$B$2,C34))</f>
        <v>27521.8880894334</v>
      </c>
      <c r="BA34" s="0" t="n">
        <f aca="false">AQ34/POWER(1+Assumptions!$B$2,AH34)</f>
        <v>23126.9165801605</v>
      </c>
      <c r="BB34" s="1" t="n">
        <f aca="false">AY34+BA34</f>
        <v>27521.8880894336</v>
      </c>
      <c r="BC34" s="1" t="n">
        <f aca="false">AJ34+Assumptions!$B$28/POWER(1+Assumptions!$B$2,AH34)+(-PV(Assumptions!$B$2,AH34,R34+T34+AI34))</f>
        <v>31042.2796010208</v>
      </c>
      <c r="BD34" s="1" t="n">
        <f aca="false">MIN(Z34,AG34,AZ34)</f>
        <v>27521.8880894334</v>
      </c>
      <c r="BE34" s="0" t="str">
        <f aca="false">IF(BD34=Z34,"Cash",IF(BD34=AG34,"Loan","Lease then buy out"))</f>
        <v>Lease then buy out</v>
      </c>
    </row>
    <row r="35" customFormat="false" ht="15" hidden="false" customHeight="false" outlineLevel="0" collapsed="false">
      <c r="A35" s="0" t="s">
        <v>86</v>
      </c>
      <c r="B35" s="0" t="s">
        <v>88</v>
      </c>
      <c r="C35" s="0" t="n">
        <v>3</v>
      </c>
      <c r="D35" s="0" t="n">
        <v>0</v>
      </c>
      <c r="E35" s="0" t="n">
        <v>50150</v>
      </c>
      <c r="F35" s="0" t="n">
        <v>5999</v>
      </c>
      <c r="G35" s="0" t="n">
        <v>589</v>
      </c>
      <c r="H35" s="0" t="n">
        <v>36</v>
      </c>
      <c r="I35" s="0" t="n">
        <v>22</v>
      </c>
      <c r="J35" s="0" t="n">
        <v>17669</v>
      </c>
      <c r="K35" s="0" t="s">
        <v>35</v>
      </c>
      <c r="L35" s="0" t="n">
        <v>181.3</v>
      </c>
      <c r="M35" s="0" t="n">
        <f aca="false">MAX(Assumptions!$B$33,Assumptions!$B$30-Assumptions!$B$31*(H35-36)-IF(D35=1,Assumptions!$B$32,0))</f>
        <v>0.57</v>
      </c>
      <c r="N35" s="0" t="n">
        <f aca="false">E35*M35</f>
        <v>28585.5</v>
      </c>
      <c r="O35" s="0" t="n">
        <f aca="false">1-POWER(J35/E35,0.1)</f>
        <v>0.0990636632248162</v>
      </c>
      <c r="P35" s="0" t="n">
        <f aca="false">E35*(1+Assumptions!$B$8)+Assumptions!$B$9</f>
        <v>53057.5</v>
      </c>
      <c r="Q35" s="0" t="n">
        <f aca="false">IF(D35=1,Assumptions!$B$14*33.7,Assumptions!$B$13)</f>
        <v>3.1</v>
      </c>
      <c r="R35" s="0" t="n">
        <f aca="false">(Assumptions!$B$10/I35)*Q35</f>
        <v>1409.09090909091</v>
      </c>
      <c r="S35" s="0" t="n">
        <f aca="false">Assumptions!$B$15+Assumptions!$B$17</f>
        <v>1750</v>
      </c>
      <c r="T35" s="0" t="n">
        <f aca="false">Assumptions!$B$15*(1+Assumptions!$B$16)+Assumptions!$B$17</f>
        <v>1942</v>
      </c>
      <c r="U35" s="0" t="n">
        <f aca="false">IF(OR(C35&gt;Assumptions!$B$11,Assumptions!$B$10*C35&gt;Assumptions!$B$12),1,0)</f>
        <v>0</v>
      </c>
      <c r="V35" s="0" t="n">
        <f aca="false">MAX(0.6,1-Assumptions!$B$22*MAX(0,(Assumptions!$B$10-10000)*C35)/10000)</f>
        <v>1</v>
      </c>
      <c r="W35" s="0" t="n">
        <f aca="false">IF(U35=1,Assumptions!$B$23,MAX(Assumptions!$B$23,E35*POWER(1-O35,C35)*V35))</f>
        <v>36673.5749672675</v>
      </c>
      <c r="X35" s="0" t="n">
        <f aca="true">SUMPRODUCT((ROW(INDIRECT("1:"&amp;C35))&gt;Assumptions!$B$20)*Assumptions!$B$18*POWER(Assumptions!$B$19,ROW(INDIRECT("1:"&amp;C35))-Assumptions!$B$20-1)*IF(ROW(INDIRECT("1:"&amp;C35))&gt;Assumptions!$B$11,Assumptions!$B$21,1)/POWER(1+Assumptions!$B$2,ROW(INDIRECT("1:"&amp;C35))))</f>
        <v>0</v>
      </c>
      <c r="Y35" s="1" t="n">
        <f aca="false">-PV(Assumptions!$B$2,C35,R35+S35)+X35</f>
        <v>8651.57820831019</v>
      </c>
      <c r="Z35" s="1" t="n">
        <f aca="false">P35+Y35-(W35/POWER(1+Assumptions!$B$2,C35))</f>
        <v>29755.9632162355</v>
      </c>
      <c r="AA35" s="0" t="n">
        <f aca="false">P35*Assumptions!$B$7</f>
        <v>5305.75</v>
      </c>
      <c r="AB35" s="0" t="n">
        <f aca="false">P35-AA35</f>
        <v>47751.75</v>
      </c>
      <c r="AC35" s="1" t="n">
        <f aca="false">PMT(Assumptions!$B$5,Assumptions!$B$6,-AB35)</f>
        <v>945.316605059788</v>
      </c>
      <c r="AD35" s="0" t="n">
        <f aca="false">C35*12</f>
        <v>36</v>
      </c>
      <c r="AE35" s="0" t="n">
        <f aca="false">MIN(Assumptions!$B$6,AD35)</f>
        <v>36</v>
      </c>
      <c r="AF35" s="1" t="n">
        <f aca="false">IF(AD35&gt;=Assumptions!$B$6,0,-PV(Assumptions!$B$5,Assumptions!$B$6-AD35,AC35))</f>
        <v>21115.8782478941</v>
      </c>
      <c r="AG35" s="1" t="n">
        <f aca="false">AA35+(-PV(Assumptions!$B$3,AE35,AC35))+Y35-((W35-AF35)/POWER(1+Assumptions!$B$2,C35))</f>
        <v>32085.4935473969</v>
      </c>
      <c r="AH35" s="0" t="n">
        <f aca="false">H35/12</f>
        <v>3</v>
      </c>
      <c r="AI35" s="0" t="n">
        <f aca="false">MAX(0,Assumptions!$B$10-Assumptions!$B$24)*Assumptions!$B$25</f>
        <v>0</v>
      </c>
      <c r="AJ35" s="1" t="n">
        <f aca="false">F35+Assumptions!$B$27+(-PV(Assumptions!$B$3,H35-1,G35))</f>
        <v>25928.3132878378</v>
      </c>
      <c r="AK35" s="0" t="n">
        <f aca="false">CEILING(C35/AH35,1)</f>
        <v>1</v>
      </c>
      <c r="AL35" s="0" t="n">
        <f aca="false">(1+Assumptions!$B$26)/POWER(1+Assumptions!$B$2,AH35)</f>
        <v>0.906135810905202</v>
      </c>
      <c r="AM35" s="0" t="n">
        <f aca="false">IF(ABS(1-AL35)&lt;0.000000000001,AK35,(1-POWER(AL35,AK35))/(1-AL35))</f>
        <v>1</v>
      </c>
      <c r="AN35" s="0" t="n">
        <f aca="false">1/POWER(1+Assumptions!$B$2,AH35)</f>
        <v>0.871284433562695</v>
      </c>
      <c r="AO35" s="0" t="n">
        <f aca="false">IF(ABS(1-AN35)&lt;0.000000000001,AK35,AN35*(1-POWER(AN35,AK35))/(1-AN35))</f>
        <v>0.871284433562695</v>
      </c>
      <c r="AP35" s="1" t="n">
        <f aca="false">AJ35*AM35+Assumptions!$B$28*AO35+(-PV(Assumptions!$B$2,C35,R35+T35+AI35))</f>
        <v>35454.2220516148</v>
      </c>
      <c r="AQ35" s="0" t="n">
        <f aca="false">N35*(1+Assumptions!$B$8)</f>
        <v>30014.775</v>
      </c>
      <c r="AR35" s="1" t="n">
        <f aca="false">PMT(Assumptions!$B$5,Assumptions!$B$29,-AQ35)</f>
        <v>926.631888967501</v>
      </c>
      <c r="AS35" s="0" t="n">
        <f aca="false">MAX(0,AD35-H35)</f>
        <v>0</v>
      </c>
      <c r="AT35" s="0" t="n">
        <f aca="false">MIN(Assumptions!$B$29,AS35)</f>
        <v>0</v>
      </c>
      <c r="AU35" s="1" t="n">
        <f aca="false">IF(AS35&gt;=Assumptions!$B$29,0,-PV(Assumptions!$B$5,Assumptions!$B$29-AS35,AR35))</f>
        <v>30014.7749999999</v>
      </c>
      <c r="AV35" s="1" t="n">
        <f aca="false">(-PV(Assumptions!$B$3,AT35,AR35))/POWER(1+Assumptions!$B$2,AH35)</f>
        <v>0</v>
      </c>
      <c r="AW35" s="1" t="n">
        <f aca="false">-PV(Assumptions!$B$2,AH35,T35+AI35)</f>
        <v>5318.41766002654</v>
      </c>
      <c r="AX35" s="1" t="n">
        <f aca="false">(-PV(Assumptions!$B$2,C35,S35))-(-PV(Assumptions!$B$2,AH35,S35))</f>
        <v>0</v>
      </c>
      <c r="AY35" s="1" t="n">
        <f aca="false">AJ35+AW35+AX35+(-PV(Assumptions!$B$2,C35,R35))+X35-(W35/POWER(1+Assumptions!$B$2,C35))</f>
        <v>3152.59328611508</v>
      </c>
      <c r="AZ35" s="1" t="n">
        <f aca="false">AY35+AV35+(AU35/POWER(1+Assumptions!$B$2,C35))</f>
        <v>29303.9995205017</v>
      </c>
      <c r="BA35" s="0" t="n">
        <f aca="false">AQ35/POWER(1+Assumptions!$B$2,AH35)</f>
        <v>26151.4062343867</v>
      </c>
      <c r="BB35" s="1" t="n">
        <f aca="false">AY35+BA35</f>
        <v>29303.9995205018</v>
      </c>
      <c r="BC35" s="1" t="n">
        <f aca="false">AJ35+Assumptions!$B$28/POWER(1+Assumptions!$B$2,AH35)+(-PV(Assumptions!$B$2,AH35,R35+T35+AI35))</f>
        <v>35454.2220516148</v>
      </c>
      <c r="BD35" s="1" t="n">
        <f aca="false">MIN(Z35,AG35,AZ35)</f>
        <v>29303.9995205017</v>
      </c>
      <c r="BE35" s="0" t="str">
        <f aca="false">IF(BD35=Z35,"Cash",IF(BD35=AG35,"Loan","Lease then buy out"))</f>
        <v>Lease then buy out</v>
      </c>
    </row>
    <row r="36" customFormat="false" ht="15" hidden="false" customHeight="false" outlineLevel="0" collapsed="false">
      <c r="A36" s="0" t="s">
        <v>89</v>
      </c>
      <c r="B36" s="0" t="s">
        <v>90</v>
      </c>
      <c r="C36" s="0" t="n">
        <v>3</v>
      </c>
      <c r="D36" s="0" t="n">
        <v>0</v>
      </c>
      <c r="E36" s="0" t="n">
        <v>45150</v>
      </c>
      <c r="F36" s="0" t="n">
        <v>4999</v>
      </c>
      <c r="G36" s="0" t="n">
        <v>579</v>
      </c>
      <c r="H36" s="0" t="n">
        <v>36</v>
      </c>
      <c r="I36" s="0" t="n">
        <v>24</v>
      </c>
      <c r="J36" s="0" t="n">
        <v>11614</v>
      </c>
      <c r="K36" s="0" t="s">
        <v>35</v>
      </c>
      <c r="L36" s="0" t="n">
        <v>153.9</v>
      </c>
      <c r="M36" s="0" t="n">
        <f aca="false">MAX(Assumptions!$B$33,Assumptions!$B$30-Assumptions!$B$31*(H36-36)-IF(D36=1,Assumptions!$B$32,0))</f>
        <v>0.57</v>
      </c>
      <c r="N36" s="0" t="n">
        <f aca="false">E36*M36</f>
        <v>25735.5</v>
      </c>
      <c r="O36" s="0" t="n">
        <f aca="false">1-POWER(J36/E36,0.1)</f>
        <v>0.126963488760405</v>
      </c>
      <c r="P36" s="0" t="n">
        <f aca="false">E36*(1+Assumptions!$B$8)+Assumptions!$B$9</f>
        <v>47807.5</v>
      </c>
      <c r="Q36" s="0" t="n">
        <f aca="false">IF(D36=1,Assumptions!$B$14*33.7,Assumptions!$B$13)</f>
        <v>3.1</v>
      </c>
      <c r="R36" s="0" t="n">
        <f aca="false">(Assumptions!$B$10/I36)*Q36</f>
        <v>1291.66666666667</v>
      </c>
      <c r="S36" s="0" t="n">
        <f aca="false">Assumptions!$B$15+Assumptions!$B$17</f>
        <v>1750</v>
      </c>
      <c r="T36" s="0" t="n">
        <f aca="false">Assumptions!$B$15*(1+Assumptions!$B$16)+Assumptions!$B$17</f>
        <v>1942</v>
      </c>
      <c r="U36" s="0" t="n">
        <f aca="false">IF(OR(C36&gt;Assumptions!$B$11,Assumptions!$B$10*C36&gt;Assumptions!$B$12),1,0)</f>
        <v>0</v>
      </c>
      <c r="V36" s="0" t="n">
        <f aca="false">MAX(0.6,1-Assumptions!$B$22*MAX(0,(Assumptions!$B$10-10000)*C36)/10000)</f>
        <v>1</v>
      </c>
      <c r="W36" s="0" t="n">
        <f aca="false">IF(U36=1,Assumptions!$B$23,MAX(Assumptions!$B$23,E36*POWER(1-O36,C36)*V36))</f>
        <v>30043.8077840688</v>
      </c>
      <c r="X36" s="0" t="n">
        <f aca="true">SUMPRODUCT((ROW(INDIRECT("1:"&amp;C36))&gt;Assumptions!$B$20)*Assumptions!$B$18*POWER(Assumptions!$B$19,ROW(INDIRECT("1:"&amp;C36))-Assumptions!$B$20-1)*IF(ROW(INDIRECT("1:"&amp;C36))&gt;Assumptions!$B$11,Assumptions!$B$21,1)/POWER(1+Assumptions!$B$2,ROW(INDIRECT("1:"&amp;C36))))</f>
        <v>0</v>
      </c>
      <c r="Y36" s="1" t="n">
        <f aca="false">-PV(Assumptions!$B$2,C36,R36+S36)+X36</f>
        <v>8329.99676411641</v>
      </c>
      <c r="Z36" s="1" t="n">
        <f aca="false">P36+Y36-(W36/POWER(1+Assumptions!$B$2,C36))</f>
        <v>29960.7947169076</v>
      </c>
      <c r="AA36" s="0" t="n">
        <f aca="false">P36*Assumptions!$B$7</f>
        <v>4780.75</v>
      </c>
      <c r="AB36" s="0" t="n">
        <f aca="false">P36-AA36</f>
        <v>43026.75</v>
      </c>
      <c r="AC36" s="1" t="n">
        <f aca="false">PMT(Assumptions!$B$5,Assumptions!$B$6,-AB36)</f>
        <v>851.778232981121</v>
      </c>
      <c r="AD36" s="0" t="n">
        <f aca="false">C36*12</f>
        <v>36</v>
      </c>
      <c r="AE36" s="0" t="n">
        <f aca="false">MIN(Assumptions!$B$6,AD36)</f>
        <v>36</v>
      </c>
      <c r="AF36" s="1" t="n">
        <f aca="false">IF(AD36&gt;=Assumptions!$B$6,0,-PV(Assumptions!$B$5,Assumptions!$B$6-AD36,AC36))</f>
        <v>19026.4778652631</v>
      </c>
      <c r="AG36" s="1" t="n">
        <f aca="false">AA36+(-PV(Assumptions!$B$3,AE36,AC36))+Y36-((W36-AF36)/POWER(1+Assumptions!$B$2,C36))</f>
        <v>32059.8197615666</v>
      </c>
      <c r="AH36" s="0" t="n">
        <f aca="false">H36/12</f>
        <v>3</v>
      </c>
      <c r="AI36" s="0" t="n">
        <f aca="false">MAX(0,Assumptions!$B$10-Assumptions!$B$24)*Assumptions!$B$25</f>
        <v>0</v>
      </c>
      <c r="AJ36" s="1" t="n">
        <f aca="false">F36+Assumptions!$B$27+(-PV(Assumptions!$B$3,H36-1,G36))</f>
        <v>24601.8393780273</v>
      </c>
      <c r="AK36" s="0" t="n">
        <f aca="false">CEILING(C36/AH36,1)</f>
        <v>1</v>
      </c>
      <c r="AL36" s="0" t="n">
        <f aca="false">(1+Assumptions!$B$26)/POWER(1+Assumptions!$B$2,AH36)</f>
        <v>0.906135810905202</v>
      </c>
      <c r="AM36" s="0" t="n">
        <f aca="false">IF(ABS(1-AL36)&lt;0.000000000001,AK36,(1-POWER(AL36,AK36))/(1-AL36))</f>
        <v>1</v>
      </c>
      <c r="AN36" s="0" t="n">
        <f aca="false">1/POWER(1+Assumptions!$B$2,AH36)</f>
        <v>0.871284433562695</v>
      </c>
      <c r="AO36" s="0" t="n">
        <f aca="false">IF(ABS(1-AN36)&lt;0.000000000001,AK36,AN36*(1-POWER(AN36,AK36))/(1-AN36))</f>
        <v>0.871284433562695</v>
      </c>
      <c r="AP36" s="1" t="n">
        <f aca="false">AJ36*AM36+Assumptions!$B$28*AO36+(-PV(Assumptions!$B$2,C36,R36+T36+AI36))</f>
        <v>33806.1666976105</v>
      </c>
      <c r="AQ36" s="0" t="n">
        <f aca="false">N36*(1+Assumptions!$B$8)</f>
        <v>27022.275</v>
      </c>
      <c r="AR36" s="1" t="n">
        <f aca="false">PMT(Assumptions!$B$5,Assumptions!$B$29,-AQ36)</f>
        <v>834.245858163164</v>
      </c>
      <c r="AS36" s="0" t="n">
        <f aca="false">MAX(0,AD36-H36)</f>
        <v>0</v>
      </c>
      <c r="AT36" s="0" t="n">
        <f aca="false">MIN(Assumptions!$B$29,AS36)</f>
        <v>0</v>
      </c>
      <c r="AU36" s="1" t="n">
        <f aca="false">IF(AS36&gt;=Assumptions!$B$29,0,-PV(Assumptions!$B$5,Assumptions!$B$29-AS36,AR36))</f>
        <v>27022.2749999999</v>
      </c>
      <c r="AV36" s="1" t="n">
        <f aca="false">(-PV(Assumptions!$B$3,AT36,AR36))/POWER(1+Assumptions!$B$2,AH36)</f>
        <v>0</v>
      </c>
      <c r="AW36" s="1" t="n">
        <f aca="false">-PV(Assumptions!$B$2,AH36,T36+AI36)</f>
        <v>5318.41766002654</v>
      </c>
      <c r="AX36" s="1" t="n">
        <f aca="false">(-PV(Assumptions!$B$2,C36,S36))-(-PV(Assumptions!$B$2,AH36,S36))</f>
        <v>0</v>
      </c>
      <c r="AY36" s="1" t="n">
        <f aca="false">AJ36+AW36+AX36+(-PV(Assumptions!$B$2,C36,R36))+X36-(W36/POWER(1+Assumptions!$B$2,C36))</f>
        <v>7280.9508769766</v>
      </c>
      <c r="AZ36" s="1" t="n">
        <f aca="false">AY36+AV36+(AU36/POWER(1+Assumptions!$B$2,C36))</f>
        <v>30825.0384439269</v>
      </c>
      <c r="BA36" s="0" t="n">
        <f aca="false">AQ36/POWER(1+Assumptions!$B$2,AH36)</f>
        <v>23544.0875669504</v>
      </c>
      <c r="BB36" s="1" t="n">
        <f aca="false">AY36+BA36</f>
        <v>30825.038443927</v>
      </c>
      <c r="BC36" s="1" t="n">
        <f aca="false">AJ36+Assumptions!$B$28/POWER(1+Assumptions!$B$2,AH36)+(-PV(Assumptions!$B$2,AH36,R36+T36+AI36))</f>
        <v>33806.1666976105</v>
      </c>
      <c r="BD36" s="1" t="n">
        <f aca="false">MIN(Z36,AG36,AZ36)</f>
        <v>29960.7947169076</v>
      </c>
      <c r="BE36" s="0" t="str">
        <f aca="false">IF(BD36=Z36,"Cash",IF(BD36=AG36,"Loan","Lease then buy out"))</f>
        <v>Cash</v>
      </c>
    </row>
    <row r="37" customFormat="false" ht="15" hidden="false" customHeight="false" outlineLevel="0" collapsed="false">
      <c r="A37" s="0" t="s">
        <v>58</v>
      </c>
      <c r="B37" s="0" t="s">
        <v>91</v>
      </c>
      <c r="C37" s="0" t="n">
        <v>3</v>
      </c>
      <c r="D37" s="0" t="n">
        <v>0</v>
      </c>
      <c r="E37" s="0" t="n">
        <v>50244</v>
      </c>
      <c r="F37" s="0" t="n">
        <v>3045</v>
      </c>
      <c r="G37" s="0" t="n">
        <v>545</v>
      </c>
      <c r="H37" s="0" t="n">
        <v>36</v>
      </c>
      <c r="I37" s="0" t="n">
        <v>17</v>
      </c>
      <c r="J37" s="0" t="n">
        <v>21917</v>
      </c>
      <c r="K37" s="0" t="s">
        <v>35</v>
      </c>
      <c r="L37" s="0" t="n">
        <v>186.7</v>
      </c>
      <c r="M37" s="0" t="n">
        <f aca="false">MAX(Assumptions!$B$33,Assumptions!$B$30-Assumptions!$B$31*(H37-36)-IF(D37=1,Assumptions!$B$32,0))</f>
        <v>0.57</v>
      </c>
      <c r="N37" s="0" t="n">
        <f aca="false">E37*M37</f>
        <v>28639.08</v>
      </c>
      <c r="O37" s="0" t="n">
        <f aca="false">1-POWER(J37/E37,0.1)</f>
        <v>0.0796146652805391</v>
      </c>
      <c r="P37" s="0" t="n">
        <f aca="false">E37*(1+Assumptions!$B$8)+Assumptions!$B$9</f>
        <v>53156.2</v>
      </c>
      <c r="Q37" s="0" t="n">
        <f aca="false">IF(D37=1,Assumptions!$B$14*33.7,Assumptions!$B$13)</f>
        <v>3.1</v>
      </c>
      <c r="R37" s="0" t="n">
        <f aca="false">(Assumptions!$B$10/I37)*Q37</f>
        <v>1823.52941176471</v>
      </c>
      <c r="S37" s="0" t="n">
        <f aca="false">Assumptions!$B$15+Assumptions!$B$17</f>
        <v>1750</v>
      </c>
      <c r="T37" s="0" t="n">
        <f aca="false">Assumptions!$B$15*(1+Assumptions!$B$16)+Assumptions!$B$17</f>
        <v>1942</v>
      </c>
      <c r="U37" s="0" t="n">
        <f aca="false">IF(OR(C37&gt;Assumptions!$B$11,Assumptions!$B$10*C37&gt;Assumptions!$B$12),1,0)</f>
        <v>0</v>
      </c>
      <c r="V37" s="0" t="n">
        <f aca="false">MAX(0.6,1-Assumptions!$B$22*MAX(0,(Assumptions!$B$10-10000)*C37)/10000)</f>
        <v>1</v>
      </c>
      <c r="W37" s="0" t="n">
        <f aca="false">IF(U37=1,Assumptions!$B$23,MAX(Assumptions!$B$23,E37*POWER(1-O37,C37)*V37))</f>
        <v>39173.5813013129</v>
      </c>
      <c r="X37" s="0" t="n">
        <f aca="true">SUMPRODUCT((ROW(INDIRECT("1:"&amp;C37))&gt;Assumptions!$B$20)*Assumptions!$B$18*POWER(Assumptions!$B$19,ROW(INDIRECT("1:"&amp;C37))-Assumptions!$B$20-1)*IF(ROW(INDIRECT("1:"&amp;C37))&gt;Assumptions!$B$11,Assumptions!$B$21,1)/POWER(1+Assumptions!$B$2,ROW(INDIRECT("1:"&amp;C37))))</f>
        <v>0</v>
      </c>
      <c r="Y37" s="1" t="n">
        <f aca="false">-PV(Assumptions!$B$2,C37,R37+S37)+X37</f>
        <v>9786.57154075884</v>
      </c>
      <c r="Z37" s="1" t="n">
        <f aca="false">P37+Y37-(W37/POWER(1+Assumptions!$B$2,C37))</f>
        <v>28811.4399460222</v>
      </c>
      <c r="AA37" s="0" t="n">
        <f aca="false">P37*Assumptions!$B$7</f>
        <v>5315.62</v>
      </c>
      <c r="AB37" s="0" t="n">
        <f aca="false">P37-AA37</f>
        <v>47840.58</v>
      </c>
      <c r="AC37" s="1" t="n">
        <f aca="false">PMT(Assumptions!$B$5,Assumptions!$B$6,-AB37)</f>
        <v>947.075126454867</v>
      </c>
      <c r="AD37" s="0" t="n">
        <f aca="false">C37*12</f>
        <v>36</v>
      </c>
      <c r="AE37" s="0" t="n">
        <f aca="false">MIN(Assumptions!$B$6,AD37)</f>
        <v>36</v>
      </c>
      <c r="AF37" s="1" t="n">
        <f aca="false">IF(AD37&gt;=Assumptions!$B$6,0,-PV(Assumptions!$B$5,Assumptions!$B$6-AD37,AC37))</f>
        <v>21155.1589750876</v>
      </c>
      <c r="AG37" s="1" t="n">
        <f aca="false">AA37+(-PV(Assumptions!$B$3,AE37,AC37))+Y37-((W37-AF37)/POWER(1+Assumptions!$B$2,C37))</f>
        <v>31145.3037765698</v>
      </c>
      <c r="AH37" s="0" t="n">
        <f aca="false">H37/12</f>
        <v>3</v>
      </c>
      <c r="AI37" s="0" t="n">
        <f aca="false">MAX(0,Assumptions!$B$10-Assumptions!$B$24)*Assumptions!$B$25</f>
        <v>0</v>
      </c>
      <c r="AJ37" s="1" t="n">
        <f aca="false">F37+Assumptions!$B$27+(-PV(Assumptions!$B$3,H37-1,G37))</f>
        <v>21537.8280846716</v>
      </c>
      <c r="AK37" s="0" t="n">
        <f aca="false">CEILING(C37/AH37,1)</f>
        <v>1</v>
      </c>
      <c r="AL37" s="0" t="n">
        <f aca="false">(1+Assumptions!$B$26)/POWER(1+Assumptions!$B$2,AH37)</f>
        <v>0.906135810905202</v>
      </c>
      <c r="AM37" s="0" t="n">
        <f aca="false">IF(ABS(1-AL37)&lt;0.000000000001,AK37,(1-POWER(AL37,AK37))/(1-AL37))</f>
        <v>1</v>
      </c>
      <c r="AN37" s="0" t="n">
        <f aca="false">1/POWER(1+Assumptions!$B$2,AH37)</f>
        <v>0.871284433562695</v>
      </c>
      <c r="AO37" s="0" t="n">
        <f aca="false">IF(ABS(1-AN37)&lt;0.000000000001,AK37,AN37*(1-POWER(AN37,AK37))/(1-AN37))</f>
        <v>0.871284433562695</v>
      </c>
      <c r="AP37" s="1" t="n">
        <f aca="false">AJ37*AM37+Assumptions!$B$28*AO37+(-PV(Assumptions!$B$2,C37,R37+T37+AI37))</f>
        <v>32198.7301808973</v>
      </c>
      <c r="AQ37" s="0" t="n">
        <f aca="false">N37*(1+Assumptions!$B$8)</f>
        <v>30071.034</v>
      </c>
      <c r="AR37" s="1" t="n">
        <f aca="false">PMT(Assumptions!$B$5,Assumptions!$B$29,-AQ37)</f>
        <v>928.368746346622</v>
      </c>
      <c r="AS37" s="0" t="n">
        <f aca="false">MAX(0,AD37-H37)</f>
        <v>0</v>
      </c>
      <c r="AT37" s="0" t="n">
        <f aca="false">MIN(Assumptions!$B$29,AS37)</f>
        <v>0</v>
      </c>
      <c r="AU37" s="1" t="n">
        <f aca="false">IF(AS37&gt;=Assumptions!$B$29,0,-PV(Assumptions!$B$5,Assumptions!$B$29-AS37,AR37))</f>
        <v>30071.0339999998</v>
      </c>
      <c r="AV37" s="1" t="n">
        <f aca="false">(-PV(Assumptions!$B$3,AT37,AR37))/POWER(1+Assumptions!$B$2,AH37)</f>
        <v>0</v>
      </c>
      <c r="AW37" s="1" t="n">
        <f aca="false">-PV(Assumptions!$B$2,AH37,T37+AI37)</f>
        <v>5318.41766002654</v>
      </c>
      <c r="AX37" s="1" t="n">
        <f aca="false">(-PV(Assumptions!$B$2,C37,S37))-(-PV(Assumptions!$B$2,AH37,S37))</f>
        <v>0</v>
      </c>
      <c r="AY37" s="1" t="n">
        <f aca="false">AJ37+AW37+AX37+(-PV(Assumptions!$B$2,C37,R37))+X37-(W37/POWER(1+Assumptions!$B$2,C37))</f>
        <v>-2281.11518726436</v>
      </c>
      <c r="AZ37" s="1" t="n">
        <f aca="false">AY37+AV37+(AU37/POWER(1+Assumptions!$B$2,C37))</f>
        <v>23919.30863807</v>
      </c>
      <c r="BA37" s="0" t="n">
        <f aca="false">AQ37/POWER(1+Assumptions!$B$2,AH37)</f>
        <v>26200.4238253345</v>
      </c>
      <c r="BB37" s="1" t="n">
        <f aca="false">AY37+BA37</f>
        <v>23919.3086380702</v>
      </c>
      <c r="BC37" s="1" t="n">
        <f aca="false">AJ37+Assumptions!$B$28/POWER(1+Assumptions!$B$2,AH37)+(-PV(Assumptions!$B$2,AH37,R37+T37+AI37))</f>
        <v>32198.7301808973</v>
      </c>
      <c r="BD37" s="1" t="n">
        <f aca="false">MIN(Z37,AG37,AZ37)</f>
        <v>23919.30863807</v>
      </c>
      <c r="BE37" s="0" t="str">
        <f aca="false">IF(BD37=Z37,"Cash",IF(BD37=AG37,"Loan","Lease then buy out"))</f>
        <v>Lease then buy out</v>
      </c>
    </row>
    <row r="38" customFormat="false" ht="15" hidden="false" customHeight="false" outlineLevel="0" collapsed="false">
      <c r="A38" s="0" t="s">
        <v>92</v>
      </c>
      <c r="B38" s="0" t="s">
        <v>93</v>
      </c>
      <c r="C38" s="0" t="n">
        <v>3</v>
      </c>
      <c r="D38" s="0" t="n">
        <v>0</v>
      </c>
      <c r="E38" s="0" t="n">
        <v>48195</v>
      </c>
      <c r="F38" s="0" t="n">
        <v>2933</v>
      </c>
      <c r="G38" s="0" t="n">
        <v>918</v>
      </c>
      <c r="H38" s="0" t="n">
        <v>36</v>
      </c>
      <c r="I38" s="0" t="n">
        <v>19</v>
      </c>
      <c r="J38" s="0" t="n">
        <v>21217</v>
      </c>
      <c r="K38" s="0" t="s">
        <v>35</v>
      </c>
      <c r="L38" s="0" t="n">
        <v>149.7</v>
      </c>
      <c r="M38" s="0" t="n">
        <f aca="false">MAX(Assumptions!$B$33,Assumptions!$B$30-Assumptions!$B$31*(H38-36)-IF(D38=1,Assumptions!$B$32,0))</f>
        <v>0.57</v>
      </c>
      <c r="N38" s="0" t="n">
        <f aca="false">E38*M38</f>
        <v>27471.15</v>
      </c>
      <c r="O38" s="0" t="n">
        <f aca="false">1-POWER(J38/E38,0.1)</f>
        <v>0.0787697310584671</v>
      </c>
      <c r="P38" s="0" t="n">
        <f aca="false">E38*(1+Assumptions!$B$8)+Assumptions!$B$9</f>
        <v>51004.75</v>
      </c>
      <c r="Q38" s="0" t="n">
        <f aca="false">IF(D38=1,Assumptions!$B$14*33.7,Assumptions!$B$13)</f>
        <v>3.1</v>
      </c>
      <c r="R38" s="0" t="n">
        <f aca="false">(Assumptions!$B$10/I38)*Q38</f>
        <v>1631.57894736842</v>
      </c>
      <c r="S38" s="0" t="n">
        <f aca="false">Assumptions!$B$15+Assumptions!$B$17</f>
        <v>1750</v>
      </c>
      <c r="T38" s="0" t="n">
        <f aca="false">Assumptions!$B$15*(1+Assumptions!$B$16)+Assumptions!$B$17</f>
        <v>1942</v>
      </c>
      <c r="U38" s="0" t="n">
        <f aca="false">IF(OR(C38&gt;Assumptions!$B$11,Assumptions!$B$10*C38&gt;Assumptions!$B$12),1,0)</f>
        <v>0</v>
      </c>
      <c r="V38" s="0" t="n">
        <f aca="false">MAX(0.6,1-Assumptions!$B$22*MAX(0,(Assumptions!$B$10-10000)*C38)/10000)</f>
        <v>1</v>
      </c>
      <c r="W38" s="0" t="n">
        <f aca="false">IF(U38=1,Assumptions!$B$23,MAX(Assumptions!$B$23,E38*POWER(1-O38,C38)*V38))</f>
        <v>37679.6258883012</v>
      </c>
      <c r="X38" s="0" t="n">
        <f aca="true">SUMPRODUCT((ROW(INDIRECT("1:"&amp;C38))&gt;Assumptions!$B$20)*Assumptions!$B$18*POWER(Assumptions!$B$19,ROW(INDIRECT("1:"&amp;C38))-Assumptions!$B$20-1)*IF(ROW(INDIRECT("1:"&amp;C38))&gt;Assumptions!$B$11,Assumptions!$B$21,1)/POWER(1+Assumptions!$B$2,ROW(INDIRECT("1:"&amp;C38))))</f>
        <v>0</v>
      </c>
      <c r="Y38" s="1" t="n">
        <f aca="false">-PV(Assumptions!$B$2,C38,R38+S38)+X38</f>
        <v>9260.89041836157</v>
      </c>
      <c r="Z38" s="1" t="n">
        <f aca="false">P38+Y38-(W38/POWER(1+Assumptions!$B$2,C38))</f>
        <v>27435.9689194188</v>
      </c>
      <c r="AA38" s="0" t="n">
        <f aca="false">P38*Assumptions!$B$7</f>
        <v>5100.475</v>
      </c>
      <c r="AB38" s="0" t="n">
        <f aca="false">P38-AA38</f>
        <v>45904.275</v>
      </c>
      <c r="AC38" s="1" t="n">
        <f aca="false">PMT(Assumptions!$B$5,Assumptions!$B$6,-AB38)</f>
        <v>908.743101577029</v>
      </c>
      <c r="AD38" s="0" t="n">
        <f aca="false">C38*12</f>
        <v>36</v>
      </c>
      <c r="AE38" s="0" t="n">
        <f aca="false">MIN(Assumptions!$B$6,AD38)</f>
        <v>36</v>
      </c>
      <c r="AF38" s="1" t="n">
        <f aca="false">IF(AD38&gt;=Assumptions!$B$6,0,-PV(Assumptions!$B$5,Assumptions!$B$6-AD38,AC38))</f>
        <v>20298.9226982854</v>
      </c>
      <c r="AG38" s="1" t="n">
        <f aca="false">AA38+(-PV(Assumptions!$B$3,AE38,AC38))+Y38-((W38-AF38)/POWER(1+Assumptions!$B$2,C38))</f>
        <v>29675.3716835577</v>
      </c>
      <c r="AH38" s="0" t="n">
        <f aca="false">H38/12</f>
        <v>3</v>
      </c>
      <c r="AI38" s="0" t="n">
        <f aca="false">MAX(0,Assumptions!$B$10-Assumptions!$B$24)*Assumptions!$B$25</f>
        <v>0</v>
      </c>
      <c r="AJ38" s="1" t="n">
        <f aca="false">F38+Assumptions!$B$27+(-PV(Assumptions!$B$3,H38-1,G38))</f>
        <v>33603.3049206029</v>
      </c>
      <c r="AK38" s="0" t="n">
        <f aca="false">CEILING(C38/AH38,1)</f>
        <v>1</v>
      </c>
      <c r="AL38" s="0" t="n">
        <f aca="false">(1+Assumptions!$B$26)/POWER(1+Assumptions!$B$2,AH38)</f>
        <v>0.906135810905202</v>
      </c>
      <c r="AM38" s="0" t="n">
        <f aca="false">IF(ABS(1-AL38)&lt;0.000000000001,AK38,(1-POWER(AL38,AK38))/(1-AL38))</f>
        <v>1</v>
      </c>
      <c r="AN38" s="0" t="n">
        <f aca="false">1/POWER(1+Assumptions!$B$2,AH38)</f>
        <v>0.871284433562695</v>
      </c>
      <c r="AO38" s="0" t="n">
        <f aca="false">IF(ABS(1-AN38)&lt;0.000000000001,AK38,AN38*(1-POWER(AN38,AK38))/(1-AN38))</f>
        <v>0.871284433562695</v>
      </c>
      <c r="AP38" s="1" t="n">
        <f aca="false">AJ38*AM38+Assumptions!$B$28*AO38+(-PV(Assumptions!$B$2,C38,R38+T38+AI38))</f>
        <v>43738.5258944313</v>
      </c>
      <c r="AQ38" s="0" t="n">
        <f aca="false">N38*(1+Assumptions!$B$8)</f>
        <v>28844.7075</v>
      </c>
      <c r="AR38" s="1" t="n">
        <f aca="false">PMT(Assumptions!$B$5,Assumptions!$B$29,-AQ38)</f>
        <v>890.508950923005</v>
      </c>
      <c r="AS38" s="0" t="n">
        <f aca="false">MAX(0,AD38-H38)</f>
        <v>0</v>
      </c>
      <c r="AT38" s="0" t="n">
        <f aca="false">MIN(Assumptions!$B$29,AS38)</f>
        <v>0</v>
      </c>
      <c r="AU38" s="1" t="n">
        <f aca="false">IF(AS38&gt;=Assumptions!$B$29,0,-PV(Assumptions!$B$5,Assumptions!$B$29-AS38,AR38))</f>
        <v>28844.7074999999</v>
      </c>
      <c r="AV38" s="1" t="n">
        <f aca="false">(-PV(Assumptions!$B$3,AT38,AR38))/POWER(1+Assumptions!$B$2,AH38)</f>
        <v>0</v>
      </c>
      <c r="AW38" s="1" t="n">
        <f aca="false">-PV(Assumptions!$B$2,AH38,T38+AI38)</f>
        <v>5318.41766002654</v>
      </c>
      <c r="AX38" s="1" t="n">
        <f aca="false">(-PV(Assumptions!$B$2,C38,S38))-(-PV(Assumptions!$B$2,AH38,S38))</f>
        <v>0</v>
      </c>
      <c r="AY38" s="1" t="n">
        <f aca="false">AJ38+AW38+AX38+(-PV(Assumptions!$B$2,C38,R38))+X38-(W38/POWER(1+Assumptions!$B$2,C38))</f>
        <v>10560.3406220635</v>
      </c>
      <c r="AZ38" s="1" t="n">
        <f aca="false">AY38+AV38+(AU38/POWER(1+Assumptions!$B$2,C38))</f>
        <v>35692.2852574824</v>
      </c>
      <c r="BA38" s="0" t="n">
        <f aca="false">AQ38/POWER(1+Assumptions!$B$2,AH38)</f>
        <v>25131.9446354191</v>
      </c>
      <c r="BB38" s="1" t="n">
        <f aca="false">AY38+BA38</f>
        <v>35692.2852574826</v>
      </c>
      <c r="BC38" s="1" t="n">
        <f aca="false">AJ38+Assumptions!$B$28/POWER(1+Assumptions!$B$2,AH38)+(-PV(Assumptions!$B$2,AH38,R38+T38+AI38))</f>
        <v>43738.5258944313</v>
      </c>
      <c r="BD38" s="1" t="n">
        <f aca="false">MIN(Z38,AG38,AZ38)</f>
        <v>27435.9689194188</v>
      </c>
      <c r="BE38" s="0" t="str">
        <f aca="false">IF(BD38=Z38,"Cash",IF(BD38=AG38,"Loan","Lease then buy out"))</f>
        <v>Cash</v>
      </c>
    </row>
    <row r="39" customFormat="false" ht="15" hidden="false" customHeight="false" outlineLevel="0" collapsed="false">
      <c r="A39" s="0" t="s">
        <v>78</v>
      </c>
      <c r="B39" s="0" t="s">
        <v>94</v>
      </c>
      <c r="C39" s="0" t="n">
        <v>3</v>
      </c>
      <c r="D39" s="0" t="n">
        <v>0</v>
      </c>
      <c r="E39" s="0" t="n">
        <v>53913</v>
      </c>
      <c r="F39" s="0" t="n">
        <v>5612</v>
      </c>
      <c r="G39" s="0" t="n">
        <v>612</v>
      </c>
      <c r="H39" s="0" t="n">
        <v>36</v>
      </c>
      <c r="I39" s="0" t="n">
        <v>25</v>
      </c>
      <c r="J39" s="0" t="n">
        <v>24748</v>
      </c>
      <c r="K39" s="0" t="s">
        <v>35</v>
      </c>
      <c r="L39" s="0" t="n">
        <v>143.2</v>
      </c>
      <c r="M39" s="0" t="n">
        <f aca="false">MAX(Assumptions!$B$33,Assumptions!$B$30-Assumptions!$B$31*(H39-36)-IF(D39=1,Assumptions!$B$32,0))</f>
        <v>0.57</v>
      </c>
      <c r="N39" s="0" t="n">
        <f aca="false">E39*M39</f>
        <v>30730.41</v>
      </c>
      <c r="O39" s="0" t="n">
        <f aca="false">1-POWER(J39/E39,0.1)</f>
        <v>0.0749085632873378</v>
      </c>
      <c r="P39" s="0" t="n">
        <f aca="false">E39*(1+Assumptions!$B$8)+Assumptions!$B$9</f>
        <v>57008.65</v>
      </c>
      <c r="Q39" s="0" t="n">
        <f aca="false">IF(D39=1,Assumptions!$B$14*33.7,Assumptions!$B$13)</f>
        <v>3.1</v>
      </c>
      <c r="R39" s="0" t="n">
        <f aca="false">(Assumptions!$B$10/I39)*Q39</f>
        <v>1240</v>
      </c>
      <c r="S39" s="0" t="n">
        <f aca="false">Assumptions!$B$15+Assumptions!$B$17</f>
        <v>1750</v>
      </c>
      <c r="T39" s="0" t="n">
        <f aca="false">Assumptions!$B$15*(1+Assumptions!$B$16)+Assumptions!$B$17</f>
        <v>1942</v>
      </c>
      <c r="U39" s="0" t="n">
        <f aca="false">IF(OR(C39&gt;Assumptions!$B$11,Assumptions!$B$10*C39&gt;Assumptions!$B$12),1,0)</f>
        <v>0</v>
      </c>
      <c r="V39" s="0" t="n">
        <f aca="false">MAX(0.6,1-Assumptions!$B$22*MAX(0,(Assumptions!$B$10-10000)*C39)/10000)</f>
        <v>1</v>
      </c>
      <c r="W39" s="0" t="n">
        <f aca="false">IF(U39=1,Assumptions!$B$23,MAX(Assumptions!$B$23,E39*POWER(1-O39,C39)*V39))</f>
        <v>42682.2673165573</v>
      </c>
      <c r="X39" s="0" t="n">
        <f aca="true">SUMPRODUCT((ROW(INDIRECT("1:"&amp;C39))&gt;Assumptions!$B$20)*Assumptions!$B$18*POWER(Assumptions!$B$19,ROW(INDIRECT("1:"&amp;C39))-Assumptions!$B$20-1)*IF(ROW(INDIRECT("1:"&amp;C39))&gt;Assumptions!$B$11,Assumptions!$B$21,1)/POWER(1+Assumptions!$B$2,ROW(INDIRECT("1:"&amp;C39))))</f>
        <v>0</v>
      </c>
      <c r="Y39" s="1" t="n">
        <f aca="false">-PV(Assumptions!$B$2,C39,R39+S39)+X39</f>
        <v>8188.50092867114</v>
      </c>
      <c r="Z39" s="1" t="n">
        <f aca="false">P39+Y39-(W39/POWER(1+Assumptions!$B$2,C39))</f>
        <v>28008.755826593</v>
      </c>
      <c r="AA39" s="0" t="n">
        <f aca="false">P39*Assumptions!$B$7</f>
        <v>5700.865</v>
      </c>
      <c r="AB39" s="0" t="n">
        <f aca="false">P39-AA39</f>
        <v>51307.785</v>
      </c>
      <c r="AC39" s="1" t="n">
        <f aca="false">PMT(Assumptions!$B$5,Assumptions!$B$6,-AB39)</f>
        <v>1015.71358388619</v>
      </c>
      <c r="AD39" s="0" t="n">
        <f aca="false">C39*12</f>
        <v>36</v>
      </c>
      <c r="AE39" s="0" t="n">
        <f aca="false">MIN(Assumptions!$B$6,AD39)</f>
        <v>36</v>
      </c>
      <c r="AF39" s="1" t="n">
        <f aca="false">IF(AD39&gt;=Assumptions!$B$6,0,-PV(Assumptions!$B$5,Assumptions!$B$6-AD39,AC39))</f>
        <v>22688.3609758622</v>
      </c>
      <c r="AG39" s="1" t="n">
        <f aca="false">AA39+(-PV(Assumptions!$B$3,AE39,AC39))+Y39-((W39-AF39)/POWER(1+Assumptions!$B$2,C39))</f>
        <v>30511.764436376</v>
      </c>
      <c r="AH39" s="0" t="n">
        <f aca="false">H39/12</f>
        <v>3</v>
      </c>
      <c r="AI39" s="0" t="n">
        <f aca="false">MAX(0,Assumptions!$B$10-Assumptions!$B$24)*Assumptions!$B$25</f>
        <v>0</v>
      </c>
      <c r="AJ39" s="1" t="n">
        <f aca="false">F39+Assumptions!$B$27+(-PV(Assumptions!$B$3,H39-1,G39))</f>
        <v>26292.2032804019</v>
      </c>
      <c r="AK39" s="0" t="n">
        <f aca="false">CEILING(C39/AH39,1)</f>
        <v>1</v>
      </c>
      <c r="AL39" s="0" t="n">
        <f aca="false">(1+Assumptions!$B$26)/POWER(1+Assumptions!$B$2,AH39)</f>
        <v>0.906135810905202</v>
      </c>
      <c r="AM39" s="0" t="n">
        <f aca="false">IF(ABS(1-AL39)&lt;0.000000000001,AK39,(1-POWER(AL39,AK39))/(1-AL39))</f>
        <v>1</v>
      </c>
      <c r="AN39" s="0" t="n">
        <f aca="false">1/POWER(1+Assumptions!$B$2,AH39)</f>
        <v>0.871284433562695</v>
      </c>
      <c r="AO39" s="0" t="n">
        <f aca="false">IF(ABS(1-AN39)&lt;0.000000000001,AK39,AN39*(1-POWER(AN39,AK39))/(1-AN39))</f>
        <v>0.871284433562695</v>
      </c>
      <c r="AP39" s="1" t="n">
        <f aca="false">AJ39*AM39+Assumptions!$B$28*AO39+(-PV(Assumptions!$B$2,C39,R39+T39+AI39))</f>
        <v>35355.0347645399</v>
      </c>
      <c r="AQ39" s="0" t="n">
        <f aca="false">N39*(1+Assumptions!$B$8)</f>
        <v>32266.9305</v>
      </c>
      <c r="AR39" s="1" t="n">
        <f aca="false">PMT(Assumptions!$B$5,Assumptions!$B$29,-AQ39)</f>
        <v>996.161615750845</v>
      </c>
      <c r="AS39" s="0" t="n">
        <f aca="false">MAX(0,AD39-H39)</f>
        <v>0</v>
      </c>
      <c r="AT39" s="0" t="n">
        <f aca="false">MIN(Assumptions!$B$29,AS39)</f>
        <v>0</v>
      </c>
      <c r="AU39" s="1" t="n">
        <f aca="false">IF(AS39&gt;=Assumptions!$B$29,0,-PV(Assumptions!$B$5,Assumptions!$B$29-AS39,AR39))</f>
        <v>32266.9304999998</v>
      </c>
      <c r="AV39" s="1" t="n">
        <f aca="false">(-PV(Assumptions!$B$3,AT39,AR39))/POWER(1+Assumptions!$B$2,AH39)</f>
        <v>0</v>
      </c>
      <c r="AW39" s="1" t="n">
        <f aca="false">-PV(Assumptions!$B$2,AH39,T39+AI39)</f>
        <v>5318.41766002654</v>
      </c>
      <c r="AX39" s="1" t="n">
        <f aca="false">(-PV(Assumptions!$B$2,C39,S39))-(-PV(Assumptions!$B$2,AH39,S39))</f>
        <v>0</v>
      </c>
      <c r="AY39" s="1" t="n">
        <f aca="false">AJ39+AW39+AX39+(-PV(Assumptions!$B$2,C39,R39))+X39-(W39/POWER(1+Assumptions!$B$2,C39))</f>
        <v>-2181.8741109633</v>
      </c>
      <c r="AZ39" s="1" t="n">
        <f aca="false">AY39+AV39+(AU39/POWER(1+Assumptions!$B$2,C39))</f>
        <v>25931.8001525359</v>
      </c>
      <c r="BA39" s="0" t="n">
        <f aca="false">AQ39/POWER(1+Assumptions!$B$2,AH39)</f>
        <v>28113.6742634993</v>
      </c>
      <c r="BB39" s="1" t="n">
        <f aca="false">AY39+BA39</f>
        <v>25931.800152536</v>
      </c>
      <c r="BC39" s="1" t="n">
        <f aca="false">AJ39+Assumptions!$B$28/POWER(1+Assumptions!$B$2,AH39)+(-PV(Assumptions!$B$2,AH39,R39+T39+AI39))</f>
        <v>35355.0347645399</v>
      </c>
      <c r="BD39" s="1" t="n">
        <f aca="false">MIN(Z39,AG39,AZ39)</f>
        <v>25931.8001525359</v>
      </c>
      <c r="BE39" s="0" t="str">
        <f aca="false">IF(BD39=Z39,"Cash",IF(BD39=AG39,"Loan","Lease then buy out"))</f>
        <v>Lease then buy out</v>
      </c>
    </row>
    <row r="40" customFormat="false" ht="15" hidden="false" customHeight="false" outlineLevel="0" collapsed="false">
      <c r="A40" s="0" t="s">
        <v>89</v>
      </c>
      <c r="B40" s="0" t="s">
        <v>95</v>
      </c>
      <c r="C40" s="0" t="n">
        <v>3</v>
      </c>
      <c r="D40" s="0" t="n">
        <v>0</v>
      </c>
      <c r="E40" s="0" t="n">
        <v>61012</v>
      </c>
      <c r="F40" s="0" t="n">
        <v>5941</v>
      </c>
      <c r="G40" s="0" t="n">
        <v>941</v>
      </c>
      <c r="H40" s="0" t="n">
        <v>36</v>
      </c>
      <c r="I40" s="0" t="n">
        <v>25</v>
      </c>
      <c r="J40" s="0" t="n">
        <v>23147</v>
      </c>
      <c r="K40" s="0" t="s">
        <v>35</v>
      </c>
      <c r="L40" s="0" t="n">
        <v>152</v>
      </c>
      <c r="M40" s="0" t="n">
        <f aca="false">MAX(Assumptions!$B$33,Assumptions!$B$30-Assumptions!$B$31*(H40-36)-IF(D40=1,Assumptions!$B$32,0))</f>
        <v>0.57</v>
      </c>
      <c r="N40" s="0" t="n">
        <f aca="false">E40*M40</f>
        <v>34776.84</v>
      </c>
      <c r="O40" s="0" t="n">
        <f aca="false">1-POWER(J40/E40,0.1)</f>
        <v>0.0923718751160323</v>
      </c>
      <c r="P40" s="0" t="n">
        <f aca="false">E40*(1+Assumptions!$B$8)+Assumptions!$B$9</f>
        <v>64462.6</v>
      </c>
      <c r="Q40" s="0" t="n">
        <f aca="false">IF(D40=1,Assumptions!$B$14*33.7,Assumptions!$B$13)</f>
        <v>3.1</v>
      </c>
      <c r="R40" s="0" t="n">
        <f aca="false">(Assumptions!$B$10/I40)*Q40</f>
        <v>1240</v>
      </c>
      <c r="S40" s="0" t="n">
        <f aca="false">Assumptions!$B$15+Assumptions!$B$17</f>
        <v>1750</v>
      </c>
      <c r="T40" s="0" t="n">
        <f aca="false">Assumptions!$B$15*(1+Assumptions!$B$16)+Assumptions!$B$17</f>
        <v>1942</v>
      </c>
      <c r="U40" s="0" t="n">
        <f aca="false">IF(OR(C40&gt;Assumptions!$B$11,Assumptions!$B$10*C40&gt;Assumptions!$B$12),1,0)</f>
        <v>0</v>
      </c>
      <c r="V40" s="0" t="n">
        <f aca="false">MAX(0.6,1-Assumptions!$B$22*MAX(0,(Assumptions!$B$10-10000)*C40)/10000)</f>
        <v>1</v>
      </c>
      <c r="W40" s="0" t="n">
        <f aca="false">IF(U40=1,Assumptions!$B$23,MAX(Assumptions!$B$23,E40*POWER(1-O40,C40)*V40))</f>
        <v>45618.2999654576</v>
      </c>
      <c r="X40" s="0" t="n">
        <f aca="true">SUMPRODUCT((ROW(INDIRECT("1:"&amp;C40))&gt;Assumptions!$B$20)*Assumptions!$B$18*POWER(Assumptions!$B$19,ROW(INDIRECT("1:"&amp;C40))-Assumptions!$B$20-1)*IF(ROW(INDIRECT("1:"&amp;C40))&gt;Assumptions!$B$11,Assumptions!$B$21,1)/POWER(1+Assumptions!$B$2,ROW(INDIRECT("1:"&amp;C40))))</f>
        <v>0</v>
      </c>
      <c r="Y40" s="1" t="n">
        <f aca="false">-PV(Assumptions!$B$2,C40,R40+S40)+X40</f>
        <v>8188.50092867114</v>
      </c>
      <c r="Z40" s="1" t="n">
        <f aca="false">P40+Y40-(W40/POWER(1+Assumptions!$B$2,C40))</f>
        <v>32904.5862831743</v>
      </c>
      <c r="AA40" s="0" t="n">
        <f aca="false">P40*Assumptions!$B$7</f>
        <v>6446.26</v>
      </c>
      <c r="AB40" s="0" t="n">
        <f aca="false">P40-AA40</f>
        <v>58016.34</v>
      </c>
      <c r="AC40" s="1" t="n">
        <f aca="false">PMT(Assumptions!$B$5,Assumptions!$B$6,-AB40)</f>
        <v>1148.51936456348</v>
      </c>
      <c r="AD40" s="0" t="n">
        <f aca="false">C40*12</f>
        <v>36</v>
      </c>
      <c r="AE40" s="0" t="n">
        <f aca="false">MIN(Assumptions!$B$6,AD40)</f>
        <v>36</v>
      </c>
      <c r="AF40" s="1" t="n">
        <f aca="false">IF(AD40&gt;=Assumptions!$B$6,0,-PV(Assumptions!$B$5,Assumptions!$B$6-AD40,AC40))</f>
        <v>25654.8916391217</v>
      </c>
      <c r="AG40" s="1" t="n">
        <f aca="false">AA40+(-PV(Assumptions!$B$3,AE40,AC40))+Y40-((W40-AF40)/POWER(1+Assumptions!$B$2,C40))</f>
        <v>35734.8662987333</v>
      </c>
      <c r="AH40" s="0" t="n">
        <f aca="false">H40/12</f>
        <v>3</v>
      </c>
      <c r="AI40" s="0" t="n">
        <f aca="false">MAX(0,Assumptions!$B$10-Assumptions!$B$24)*Assumptions!$B$25</f>
        <v>0</v>
      </c>
      <c r="AJ40" s="1" t="n">
        <f aca="false">F40+Assumptions!$B$27+(-PV(Assumptions!$B$3,H40-1,G40))</f>
        <v>37362.194913167</v>
      </c>
      <c r="AK40" s="0" t="n">
        <f aca="false">CEILING(C40/AH40,1)</f>
        <v>1</v>
      </c>
      <c r="AL40" s="0" t="n">
        <f aca="false">(1+Assumptions!$B$26)/POWER(1+Assumptions!$B$2,AH40)</f>
        <v>0.906135810905202</v>
      </c>
      <c r="AM40" s="0" t="n">
        <f aca="false">IF(ABS(1-AL40)&lt;0.000000000001,AK40,(1-POWER(AL40,AK40))/(1-AL40))</f>
        <v>1</v>
      </c>
      <c r="AN40" s="0" t="n">
        <f aca="false">1/POWER(1+Assumptions!$B$2,AH40)</f>
        <v>0.871284433562695</v>
      </c>
      <c r="AO40" s="0" t="n">
        <f aca="false">IF(ABS(1-AN40)&lt;0.000000000001,AK40,AN40*(1-POWER(AN40,AK40))/(1-AN40))</f>
        <v>0.871284433562695</v>
      </c>
      <c r="AP40" s="1" t="n">
        <f aca="false">AJ40*AM40+Assumptions!$B$28*AO40+(-PV(Assumptions!$B$2,C40,R40+T40+AI40))</f>
        <v>46425.026397305</v>
      </c>
      <c r="AQ40" s="0" t="n">
        <f aca="false">N40*(1+Assumptions!$B$8)</f>
        <v>36515.682</v>
      </c>
      <c r="AR40" s="1" t="n">
        <f aca="false">PMT(Assumptions!$B$5,Assumptions!$B$29,-AQ40)</f>
        <v>1127.33130228684</v>
      </c>
      <c r="AS40" s="0" t="n">
        <f aca="false">MAX(0,AD40-H40)</f>
        <v>0</v>
      </c>
      <c r="AT40" s="0" t="n">
        <f aca="false">MIN(Assumptions!$B$29,AS40)</f>
        <v>0</v>
      </c>
      <c r="AU40" s="1" t="n">
        <f aca="false">IF(AS40&gt;=Assumptions!$B$29,0,-PV(Assumptions!$B$5,Assumptions!$B$29-AS40,AR40))</f>
        <v>36515.6819999998</v>
      </c>
      <c r="AV40" s="1" t="n">
        <f aca="false">(-PV(Assumptions!$B$3,AT40,AR40))/POWER(1+Assumptions!$B$2,AH40)</f>
        <v>0</v>
      </c>
      <c r="AW40" s="1" t="n">
        <f aca="false">-PV(Assumptions!$B$2,AH40,T40+AI40)</f>
        <v>5318.41766002654</v>
      </c>
      <c r="AX40" s="1" t="n">
        <f aca="false">(-PV(Assumptions!$B$2,C40,S40))-(-PV(Assumptions!$B$2,AH40,S40))</f>
        <v>0</v>
      </c>
      <c r="AY40" s="1" t="n">
        <f aca="false">AJ40+AW40+AX40+(-PV(Assumptions!$B$2,C40,R40))+X40-(W40/POWER(1+Assumptions!$B$2,C40))</f>
        <v>6329.99797838307</v>
      </c>
      <c r="AZ40" s="1" t="n">
        <f aca="false">AY40+AV40+(AU40/POWER(1+Assumptions!$B$2,C40))</f>
        <v>38145.5432859084</v>
      </c>
      <c r="BA40" s="0" t="n">
        <f aca="false">AQ40/POWER(1+Assumptions!$B$2,AH40)</f>
        <v>31815.5453075255</v>
      </c>
      <c r="BB40" s="1" t="n">
        <f aca="false">AY40+BA40</f>
        <v>38145.5432859086</v>
      </c>
      <c r="BC40" s="1" t="n">
        <f aca="false">AJ40+Assumptions!$B$28/POWER(1+Assumptions!$B$2,AH40)+(-PV(Assumptions!$B$2,AH40,R40+T40+AI40))</f>
        <v>46425.026397305</v>
      </c>
      <c r="BD40" s="1" t="n">
        <f aca="false">MIN(Z40,AG40,AZ40)</f>
        <v>32904.5862831743</v>
      </c>
      <c r="BE40" s="0" t="str">
        <f aca="false">IF(BD40=Z40,"Cash",IF(BD40=AG40,"Loan","Lease then buy out"))</f>
        <v>Cash</v>
      </c>
    </row>
    <row r="41" customFormat="false" ht="15" hidden="false" customHeight="false" outlineLevel="0" collapsed="false">
      <c r="A41" s="0" t="s">
        <v>51</v>
      </c>
      <c r="B41" s="0" t="s">
        <v>96</v>
      </c>
      <c r="C41" s="0" t="n">
        <v>3</v>
      </c>
      <c r="D41" s="0" t="n">
        <v>1</v>
      </c>
      <c r="E41" s="0" t="n">
        <v>73369</v>
      </c>
      <c r="F41" s="0" t="n">
        <v>3367</v>
      </c>
      <c r="G41" s="0" t="n">
        <v>867</v>
      </c>
      <c r="H41" s="0" t="n">
        <v>36</v>
      </c>
      <c r="I41" s="0" t="n">
        <v>63</v>
      </c>
      <c r="J41" s="0" t="n">
        <v>27865</v>
      </c>
      <c r="K41" s="0" t="s">
        <v>35</v>
      </c>
      <c r="L41" s="0" t="n">
        <v>90.1</v>
      </c>
      <c r="M41" s="0" t="n">
        <f aca="false">MAX(Assumptions!$B$33,Assumptions!$B$30-Assumptions!$B$31*(H41-36)-IF(D41=1,Assumptions!$B$32,0))</f>
        <v>0.49</v>
      </c>
      <c r="N41" s="0" t="n">
        <f aca="false">E41*M41</f>
        <v>35950.81</v>
      </c>
      <c r="O41" s="0" t="n">
        <f aca="false">1-POWER(J41/E41,0.1)</f>
        <v>0.0922742724734669</v>
      </c>
      <c r="P41" s="0" t="n">
        <f aca="false">E41*(1+Assumptions!$B$8)+Assumptions!$B$9</f>
        <v>77437.45</v>
      </c>
      <c r="Q41" s="0" t="n">
        <f aca="false">IF(D41=1,Assumptions!$B$14*33.7,Assumptions!$B$13)</f>
        <v>5.729</v>
      </c>
      <c r="R41" s="0" t="n">
        <f aca="false">(Assumptions!$B$10/I41)*Q41</f>
        <v>909.36507936508</v>
      </c>
      <c r="S41" s="0" t="n">
        <f aca="false">Assumptions!$B$15+Assumptions!$B$17</f>
        <v>1750</v>
      </c>
      <c r="T41" s="0" t="n">
        <f aca="false">Assumptions!$B$15*(1+Assumptions!$B$16)+Assumptions!$B$17</f>
        <v>1942</v>
      </c>
      <c r="U41" s="0" t="n">
        <f aca="false">IF(OR(C41&gt;Assumptions!$B$11,Assumptions!$B$10*C41&gt;Assumptions!$B$12),1,0)</f>
        <v>0</v>
      </c>
      <c r="V41" s="0" t="n">
        <f aca="false">MAX(0.6,1-Assumptions!$B$22*MAX(0,(Assumptions!$B$10-10000)*C41)/10000)</f>
        <v>1</v>
      </c>
      <c r="W41" s="0" t="n">
        <f aca="false">IF(U41=1,Assumptions!$B$23,MAX(Assumptions!$B$23,E41*POWER(1-O41,C41)*V41))</f>
        <v>54875.25281355</v>
      </c>
      <c r="X41" s="0" t="n">
        <f aca="true">SUMPRODUCT((ROW(INDIRECT("1:"&amp;C41))&gt;Assumptions!$B$20)*Assumptions!$B$18*POWER(Assumptions!$B$19,ROW(INDIRECT("1:"&amp;C41))-Assumptions!$B$20-1)*IF(ROW(INDIRECT("1:"&amp;C41))&gt;Assumptions!$B$11,Assumptions!$B$21,1)/POWER(1+Assumptions!$B$2,ROW(INDIRECT("1:"&amp;C41))))</f>
        <v>0</v>
      </c>
      <c r="Y41" s="1" t="n">
        <f aca="false">-PV(Assumptions!$B$2,C41,R41+S41)+X41</f>
        <v>7283.01452242694</v>
      </c>
      <c r="Z41" s="1" t="n">
        <f aca="false">P41+Y41-(W41/POWER(1+Assumptions!$B$2,C41))</f>
        <v>36908.5109581634</v>
      </c>
      <c r="AA41" s="0" t="n">
        <f aca="false">P41*Assumptions!$B$7</f>
        <v>7743.745</v>
      </c>
      <c r="AB41" s="0" t="n">
        <f aca="false">P41-AA41</f>
        <v>69693.705</v>
      </c>
      <c r="AC41" s="1" t="n">
        <f aca="false">PMT(Assumptions!$B$5,Assumptions!$B$6,-AB41)</f>
        <v>1379.6900973187</v>
      </c>
      <c r="AD41" s="0" t="n">
        <f aca="false">C41*12</f>
        <v>36</v>
      </c>
      <c r="AE41" s="0" t="n">
        <f aca="false">MIN(Assumptions!$B$6,AD41)</f>
        <v>36</v>
      </c>
      <c r="AF41" s="1" t="n">
        <f aca="false">IF(AD41&gt;=Assumptions!$B$6,0,-PV(Assumptions!$B$5,Assumptions!$B$6-AD41,AC41))</f>
        <v>30818.6357447559</v>
      </c>
      <c r="AG41" s="1" t="n">
        <f aca="false">AA41+(-PV(Assumptions!$B$3,AE41,AC41))+Y41-((W41-AF41)/POWER(1+Assumptions!$B$2,C41))</f>
        <v>40308.4617387842</v>
      </c>
      <c r="AH41" s="0" t="n">
        <f aca="false">H41/12</f>
        <v>3</v>
      </c>
      <c r="AI41" s="0" t="n">
        <f aca="false">MAX(0,Assumptions!$B$10-Assumptions!$B$24)*Assumptions!$B$25</f>
        <v>0</v>
      </c>
      <c r="AJ41" s="1" t="n">
        <f aca="false">F41+Assumptions!$B$27+(-PV(Assumptions!$B$3,H41-1,G41))</f>
        <v>32372.2879805694</v>
      </c>
      <c r="AK41" s="0" t="n">
        <f aca="false">CEILING(C41/AH41,1)</f>
        <v>1</v>
      </c>
      <c r="AL41" s="0" t="n">
        <f aca="false">(1+Assumptions!$B$26)/POWER(1+Assumptions!$B$2,AH41)</f>
        <v>0.906135810905202</v>
      </c>
      <c r="AM41" s="0" t="n">
        <f aca="false">IF(ABS(1-AL41)&lt;0.000000000001,AK41,(1-POWER(AL41,AK41))/(1-AL41))</f>
        <v>1</v>
      </c>
      <c r="AN41" s="0" t="n">
        <f aca="false">1/POWER(1+Assumptions!$B$2,AH41)</f>
        <v>0.871284433562695</v>
      </c>
      <c r="AO41" s="0" t="n">
        <f aca="false">IF(ABS(1-AN41)&lt;0.000000000001,AK41,AN41*(1-POWER(AN41,AK41))/(1-AN41))</f>
        <v>0.871284433562695</v>
      </c>
      <c r="AP41" s="1" t="n">
        <f aca="false">AJ41*AM41+Assumptions!$B$28*AO41+(-PV(Assumptions!$B$2,C41,R41+T41+AI41))</f>
        <v>40529.6330584632</v>
      </c>
      <c r="AQ41" s="0" t="n">
        <f aca="false">N41*(1+Assumptions!$B$8)</f>
        <v>37748.3505</v>
      </c>
      <c r="AR41" s="1" t="n">
        <f aca="false">PMT(Assumptions!$B$5,Assumptions!$B$29,-AQ41)</f>
        <v>1165.38689126346</v>
      </c>
      <c r="AS41" s="0" t="n">
        <f aca="false">MAX(0,AD41-H41)</f>
        <v>0</v>
      </c>
      <c r="AT41" s="0" t="n">
        <f aca="false">MIN(Assumptions!$B$29,AS41)</f>
        <v>0</v>
      </c>
      <c r="AU41" s="1" t="n">
        <f aca="false">IF(AS41&gt;=Assumptions!$B$29,0,-PV(Assumptions!$B$5,Assumptions!$B$29-AS41,AR41))</f>
        <v>37748.3504999998</v>
      </c>
      <c r="AV41" s="1" t="n">
        <f aca="false">(-PV(Assumptions!$B$3,AT41,AR41))/POWER(1+Assumptions!$B$2,AH41)</f>
        <v>0</v>
      </c>
      <c r="AW41" s="1" t="n">
        <f aca="false">-PV(Assumptions!$B$2,AH41,T41+AI41)</f>
        <v>5318.41766002654</v>
      </c>
      <c r="AX41" s="1" t="n">
        <f aca="false">(-PV(Assumptions!$B$2,C41,S41))-(-PV(Assumptions!$B$2,AH41,S41))</f>
        <v>0</v>
      </c>
      <c r="AY41" s="1" t="n">
        <f aca="false">AJ41+AW41+AX41+(-PV(Assumptions!$B$2,C41,R41))+X41-(W41/POWER(1+Assumptions!$B$2,C41))</f>
        <v>-7630.83427922548</v>
      </c>
      <c r="AZ41" s="1" t="n">
        <f aca="false">AY41+AV41+(AU41/POWER(1+Assumptions!$B$2,C41))</f>
        <v>25258.7159040929</v>
      </c>
      <c r="BA41" s="0" t="n">
        <f aca="false">AQ41/POWER(1+Assumptions!$B$2,AH41)</f>
        <v>32889.5501833186</v>
      </c>
      <c r="BB41" s="1" t="n">
        <f aca="false">AY41+BA41</f>
        <v>25258.7159040931</v>
      </c>
      <c r="BC41" s="1" t="n">
        <f aca="false">AJ41+Assumptions!$B$28/POWER(1+Assumptions!$B$2,AH41)+(-PV(Assumptions!$B$2,AH41,R41+T41+AI41))</f>
        <v>40529.6330584632</v>
      </c>
      <c r="BD41" s="1" t="n">
        <f aca="false">MIN(Z41,AG41,AZ41)</f>
        <v>25258.7159040929</v>
      </c>
      <c r="BE41" s="0" t="str">
        <f aca="false">IF(BD41=Z41,"Cash",IF(BD41=AG41,"Loan","Lease then buy out"))</f>
        <v>Lease then buy out</v>
      </c>
    </row>
    <row r="42" customFormat="false" ht="15" hidden="false" customHeight="false" outlineLevel="0" collapsed="false">
      <c r="A42" s="0" t="s">
        <v>58</v>
      </c>
      <c r="B42" s="0" t="s">
        <v>97</v>
      </c>
      <c r="C42" s="0" t="n">
        <v>3</v>
      </c>
      <c r="D42" s="0" t="n">
        <v>0</v>
      </c>
      <c r="E42" s="0" t="n">
        <v>77972</v>
      </c>
      <c r="F42" s="0" t="n">
        <v>6060</v>
      </c>
      <c r="G42" s="0" t="n">
        <v>1060</v>
      </c>
      <c r="H42" s="0" t="n">
        <v>36</v>
      </c>
      <c r="I42" s="0" t="n">
        <v>25</v>
      </c>
      <c r="J42" s="0" t="n">
        <v>31917</v>
      </c>
      <c r="K42" s="0" t="s">
        <v>35</v>
      </c>
      <c r="L42" s="0" t="n">
        <v>179.1</v>
      </c>
      <c r="M42" s="0" t="n">
        <f aca="false">MAX(Assumptions!$B$33,Assumptions!$B$30-Assumptions!$B$31*(H42-36)-IF(D42=1,Assumptions!$B$32,0))</f>
        <v>0.57</v>
      </c>
      <c r="N42" s="0" t="n">
        <f aca="false">E42*M42</f>
        <v>44444.04</v>
      </c>
      <c r="O42" s="0" t="n">
        <f aca="false">1-POWER(J42/E42,0.1)</f>
        <v>0.0854481366097508</v>
      </c>
      <c r="P42" s="0" t="n">
        <f aca="false">E42*(1+Assumptions!$B$8)+Assumptions!$B$9</f>
        <v>82270.6</v>
      </c>
      <c r="Q42" s="0" t="n">
        <f aca="false">IF(D42=1,Assumptions!$B$14*33.7,Assumptions!$B$13)</f>
        <v>3.1</v>
      </c>
      <c r="R42" s="0" t="n">
        <f aca="false">(Assumptions!$B$10/I42)*Q42</f>
        <v>1240</v>
      </c>
      <c r="S42" s="0" t="n">
        <f aca="false">Assumptions!$B$15+Assumptions!$B$17</f>
        <v>1750</v>
      </c>
      <c r="T42" s="0" t="n">
        <f aca="false">Assumptions!$B$15*(1+Assumptions!$B$16)+Assumptions!$B$17</f>
        <v>1942</v>
      </c>
      <c r="U42" s="0" t="n">
        <f aca="false">IF(OR(C42&gt;Assumptions!$B$11,Assumptions!$B$10*C42&gt;Assumptions!$B$12),1,0)</f>
        <v>0</v>
      </c>
      <c r="V42" s="0" t="n">
        <f aca="false">MAX(0.6,1-Assumptions!$B$22*MAX(0,(Assumptions!$B$10-10000)*C42)/10000)</f>
        <v>1</v>
      </c>
      <c r="W42" s="0" t="n">
        <f aca="false">IF(U42=1,Assumptions!$B$23,MAX(Assumptions!$B$23,E42*POWER(1-O42,C42)*V42))</f>
        <v>59643.5783035457</v>
      </c>
      <c r="X42" s="0" t="n">
        <f aca="true">SUMPRODUCT((ROW(INDIRECT("1:"&amp;C42))&gt;Assumptions!$B$20)*Assumptions!$B$18*POWER(Assumptions!$B$19,ROW(INDIRECT("1:"&amp;C42))-Assumptions!$B$20-1)*IF(ROW(INDIRECT("1:"&amp;C42))&gt;Assumptions!$B$11,Assumptions!$B$21,1)/POWER(1+Assumptions!$B$2,ROW(INDIRECT("1:"&amp;C42))))</f>
        <v>0</v>
      </c>
      <c r="Y42" s="1" t="n">
        <f aca="false">-PV(Assumptions!$B$2,C42,R42+S42)+X42</f>
        <v>8188.50092867114</v>
      </c>
      <c r="Z42" s="1" t="n">
        <f aca="false">P42+Y42-(W42/POWER(1+Assumptions!$B$2,C42))</f>
        <v>38492.5795908142</v>
      </c>
      <c r="AA42" s="0" t="n">
        <f aca="false">P42*Assumptions!$B$7</f>
        <v>8227.06</v>
      </c>
      <c r="AB42" s="0" t="n">
        <f aca="false">P42-AA42</f>
        <v>74043.54</v>
      </c>
      <c r="AC42" s="1" t="n">
        <f aca="false">PMT(Assumptions!$B$5,Assumptions!$B$6,-AB42)</f>
        <v>1465.80152265432</v>
      </c>
      <c r="AD42" s="0" t="n">
        <f aca="false">C42*12</f>
        <v>36</v>
      </c>
      <c r="AE42" s="0" t="n">
        <f aca="false">MIN(Assumptions!$B$6,AD42)</f>
        <v>36</v>
      </c>
      <c r="AF42" s="1" t="n">
        <f aca="false">IF(AD42&gt;=Assumptions!$B$6,0,-PV(Assumptions!$B$5,Assumptions!$B$6-AD42,AC42))</f>
        <v>32742.137737006</v>
      </c>
      <c r="AG42" s="1" t="n">
        <f aca="false">AA42+(-PV(Assumptions!$B$3,AE42,AC42))+Y42-((W42-AF42)/POWER(1+Assumptions!$B$2,C42))</f>
        <v>42104.733538189</v>
      </c>
      <c r="AH42" s="0" t="n">
        <f aca="false">H42/12</f>
        <v>3</v>
      </c>
      <c r="AI42" s="0" t="n">
        <f aca="false">MAX(0,Assumptions!$B$10-Assumptions!$B$24)*Assumptions!$B$25</f>
        <v>0</v>
      </c>
      <c r="AJ42" s="1" t="n">
        <f aca="false">F42+Assumptions!$B$27+(-PV(Assumptions!$B$3,H42-1,G42))</f>
        <v>41366.2344399118</v>
      </c>
      <c r="AK42" s="0" t="n">
        <f aca="false">CEILING(C42/AH42,1)</f>
        <v>1</v>
      </c>
      <c r="AL42" s="0" t="n">
        <f aca="false">(1+Assumptions!$B$26)/POWER(1+Assumptions!$B$2,AH42)</f>
        <v>0.906135810905202</v>
      </c>
      <c r="AM42" s="0" t="n">
        <f aca="false">IF(ABS(1-AL42)&lt;0.000000000001,AK42,(1-POWER(AL42,AK42))/(1-AL42))</f>
        <v>1</v>
      </c>
      <c r="AN42" s="0" t="n">
        <f aca="false">1/POWER(1+Assumptions!$B$2,AH42)</f>
        <v>0.871284433562695</v>
      </c>
      <c r="AO42" s="0" t="n">
        <f aca="false">IF(ABS(1-AN42)&lt;0.000000000001,AK42,AN42*(1-POWER(AN42,AK42))/(1-AN42))</f>
        <v>0.871284433562695</v>
      </c>
      <c r="AP42" s="1" t="n">
        <f aca="false">AJ42*AM42+Assumptions!$B$28*AO42+(-PV(Assumptions!$B$2,C42,R42+T42+AI42))</f>
        <v>50429.0659240498</v>
      </c>
      <c r="AQ42" s="0" t="n">
        <f aca="false">N42*(1+Assumptions!$B$8)</f>
        <v>46666.242</v>
      </c>
      <c r="AR42" s="1" t="n">
        <f aca="false">PMT(Assumptions!$B$5,Assumptions!$B$29,-AQ42)</f>
        <v>1440.70471877515</v>
      </c>
      <c r="AS42" s="0" t="n">
        <f aca="false">MAX(0,AD42-H42)</f>
        <v>0</v>
      </c>
      <c r="AT42" s="0" t="n">
        <f aca="false">MIN(Assumptions!$B$29,AS42)</f>
        <v>0</v>
      </c>
      <c r="AU42" s="1" t="n">
        <f aca="false">IF(AS42&gt;=Assumptions!$B$29,0,-PV(Assumptions!$B$5,Assumptions!$B$29-AS42,AR42))</f>
        <v>46666.2419999998</v>
      </c>
      <c r="AV42" s="1" t="n">
        <f aca="false">(-PV(Assumptions!$B$3,AT42,AR42))/POWER(1+Assumptions!$B$2,AH42)</f>
        <v>0</v>
      </c>
      <c r="AW42" s="1" t="n">
        <f aca="false">-PV(Assumptions!$B$2,AH42,T42+AI42)</f>
        <v>5318.41766002654</v>
      </c>
      <c r="AX42" s="1" t="n">
        <f aca="false">(-PV(Assumptions!$B$2,C42,S42))-(-PV(Assumptions!$B$2,AH42,S42))</f>
        <v>0</v>
      </c>
      <c r="AY42" s="1" t="n">
        <f aca="false">AJ42+AW42+AX42+(-PV(Assumptions!$B$2,C42,R42))+X42-(W42/POWER(1+Assumptions!$B$2,C42))</f>
        <v>-1885.96918723227</v>
      </c>
      <c r="AZ42" s="1" t="n">
        <f aca="false">AY42+AV42+(AU42/POWER(1+Assumptions!$B$2,C42))</f>
        <v>38773.6010402372</v>
      </c>
      <c r="BA42" s="0" t="n">
        <f aca="false">AQ42/POWER(1+Assumptions!$B$2,AH42)</f>
        <v>40659.5702274696</v>
      </c>
      <c r="BB42" s="1" t="n">
        <f aca="false">AY42+BA42</f>
        <v>38773.6010402374</v>
      </c>
      <c r="BC42" s="1" t="n">
        <f aca="false">AJ42+Assumptions!$B$28/POWER(1+Assumptions!$B$2,AH42)+(-PV(Assumptions!$B$2,AH42,R42+T42+AI42))</f>
        <v>50429.0659240498</v>
      </c>
      <c r="BD42" s="1" t="n">
        <f aca="false">MIN(Z42,AG42,AZ42)</f>
        <v>38492.5795908142</v>
      </c>
      <c r="BE42" s="0" t="str">
        <f aca="false">IF(BD42=Z42,"Cash",IF(BD42=AG42,"Loan","Lease then buy out"))</f>
        <v>Cash</v>
      </c>
    </row>
    <row r="43" customFormat="false" ht="15" hidden="false" customHeight="false" outlineLevel="0" collapsed="false">
      <c r="A43" s="0" t="s">
        <v>43</v>
      </c>
      <c r="B43" s="0" t="s">
        <v>98</v>
      </c>
      <c r="C43" s="0" t="n">
        <v>3</v>
      </c>
      <c r="D43" s="0" t="n">
        <v>0</v>
      </c>
      <c r="E43" s="0" t="n">
        <v>39600</v>
      </c>
      <c r="F43" s="0" t="n">
        <v>3999</v>
      </c>
      <c r="G43" s="0" t="n">
        <v>259</v>
      </c>
      <c r="H43" s="0" t="n">
        <v>36</v>
      </c>
      <c r="I43" s="0" t="n">
        <v>53</v>
      </c>
      <c r="J43" s="0" t="n">
        <v>8400</v>
      </c>
      <c r="K43" s="0" t="s">
        <v>99</v>
      </c>
      <c r="L43" s="0" t="n">
        <v>143.5</v>
      </c>
      <c r="M43" s="0" t="n">
        <f aca="false">MAX(Assumptions!$B$33,Assumptions!$B$30-Assumptions!$B$31*(H43-36)-IF(D43=1,Assumptions!$B$32,0))</f>
        <v>0.57</v>
      </c>
      <c r="N43" s="0" t="n">
        <f aca="false">E43*M43</f>
        <v>22572</v>
      </c>
      <c r="O43" s="0" t="n">
        <f aca="false">1-POWER(J43/E43,0.1)</f>
        <v>0.143635984293751</v>
      </c>
      <c r="P43" s="0" t="n">
        <f aca="false">E43*(1+Assumptions!$B$8)+Assumptions!$B$9</f>
        <v>41980</v>
      </c>
      <c r="Q43" s="0" t="n">
        <f aca="false">IF(D43=1,Assumptions!$B$14*33.7,Assumptions!$B$13)</f>
        <v>3.1</v>
      </c>
      <c r="R43" s="0" t="n">
        <f aca="false">(Assumptions!$B$10/I43)*Q43</f>
        <v>584.905660377359</v>
      </c>
      <c r="S43" s="0" t="n">
        <f aca="false">Assumptions!$B$15+Assumptions!$B$17</f>
        <v>1750</v>
      </c>
      <c r="T43" s="0" t="n">
        <f aca="false">Assumptions!$B$15*(1+Assumptions!$B$16)+Assumptions!$B$17</f>
        <v>1942</v>
      </c>
      <c r="U43" s="0" t="n">
        <f aca="false">IF(OR(C43&gt;Assumptions!$B$11,Assumptions!$B$10*C43&gt;Assumptions!$B$12),1,0)</f>
        <v>0</v>
      </c>
      <c r="V43" s="0" t="n">
        <f aca="false">MAX(0.6,1-Assumptions!$B$22*MAX(0,(Assumptions!$B$10-10000)*C43)/10000)</f>
        <v>1</v>
      </c>
      <c r="W43" s="0" t="n">
        <f aca="false">IF(U43=1,Assumptions!$B$23,MAX(Assumptions!$B$23,E43*POWER(1-O43,C43)*V43))</f>
        <v>24869.6925271711</v>
      </c>
      <c r="X43" s="0" t="n">
        <f aca="true">SUMPRODUCT((ROW(INDIRECT("1:"&amp;C43))&gt;Assumptions!$B$20)*Assumptions!$B$18*POWER(Assumptions!$B$19,ROW(INDIRECT("1:"&amp;C43))-Assumptions!$B$20-1)*IF(ROW(INDIRECT("1:"&amp;C43))&gt;Assumptions!$B$11,Assumptions!$B$21,1)/POWER(1+Assumptions!$B$2,ROW(INDIRECT("1:"&amp;C43))))</f>
        <v>0</v>
      </c>
      <c r="Y43" s="1" t="n">
        <f aca="false">-PV(Assumptions!$B$2,C43,R43+S43)+X43</f>
        <v>6394.44052453495</v>
      </c>
      <c r="Z43" s="1" t="n">
        <f aca="false">P43+Y43-(W43/POWER(1+Assumptions!$B$2,C43))</f>
        <v>26705.8645581203</v>
      </c>
      <c r="AA43" s="0" t="n">
        <f aca="false">P43*Assumptions!$B$7</f>
        <v>4198</v>
      </c>
      <c r="AB43" s="0" t="n">
        <f aca="false">P43-AA43</f>
        <v>37782</v>
      </c>
      <c r="AC43" s="1" t="n">
        <f aca="false">PMT(Assumptions!$B$5,Assumptions!$B$6,-AB43)</f>
        <v>747.9506399738</v>
      </c>
      <c r="AD43" s="0" t="n">
        <f aca="false">C43*12</f>
        <v>36</v>
      </c>
      <c r="AE43" s="0" t="n">
        <f aca="false">MIN(Assumptions!$B$6,AD43)</f>
        <v>36</v>
      </c>
      <c r="AF43" s="1" t="n">
        <f aca="false">IF(AD43&gt;=Assumptions!$B$6,0,-PV(Assumptions!$B$5,Assumptions!$B$6-AD43,AC43))</f>
        <v>16707.2434405427</v>
      </c>
      <c r="AG43" s="1" t="n">
        <f aca="false">AA43+(-PV(Assumptions!$B$3,AE43,AC43))+Y43-((W43-AF43)/POWER(1+Assumptions!$B$2,C43))</f>
        <v>28549.0287347617</v>
      </c>
      <c r="AH43" s="0" t="n">
        <f aca="false">H43/12</f>
        <v>3</v>
      </c>
      <c r="AI43" s="0" t="n">
        <f aca="false">MAX(0,Assumptions!$B$10-Assumptions!$B$24)*Assumptions!$B$25</f>
        <v>0</v>
      </c>
      <c r="AJ43" s="1" t="n">
        <f aca="false">F43+Assumptions!$B$27+(-PV(Assumptions!$B$3,H43-1,G43))</f>
        <v>13154.6742640917</v>
      </c>
      <c r="AK43" s="0" t="n">
        <f aca="false">CEILING(C43/AH43,1)</f>
        <v>1</v>
      </c>
      <c r="AL43" s="0" t="n">
        <f aca="false">(1+Assumptions!$B$26)/POWER(1+Assumptions!$B$2,AH43)</f>
        <v>0.906135810905202</v>
      </c>
      <c r="AM43" s="0" t="n">
        <f aca="false">IF(ABS(1-AL43)&lt;0.000000000001,AK43,(1-POWER(AL43,AK43))/(1-AL43))</f>
        <v>1</v>
      </c>
      <c r="AN43" s="0" t="n">
        <f aca="false">1/POWER(1+Assumptions!$B$2,AH43)</f>
        <v>0.871284433562695</v>
      </c>
      <c r="AO43" s="0" t="n">
        <f aca="false">IF(ABS(1-AN43)&lt;0.000000000001,AK43,AN43*(1-POWER(AN43,AK43))/(1-AN43))</f>
        <v>0.871284433562695</v>
      </c>
      <c r="AP43" s="1" t="n">
        <f aca="false">AJ43*AM43+Assumptions!$B$28*AO43+(-PV(Assumptions!$B$2,C43,R43+T43+AI43))</f>
        <v>20423.4453440935</v>
      </c>
      <c r="AQ43" s="0" t="n">
        <f aca="false">N43*(1+Assumptions!$B$8)</f>
        <v>23700.6</v>
      </c>
      <c r="AR43" s="1" t="n">
        <f aca="false">PMT(Assumptions!$B$5,Assumptions!$B$29,-AQ43)</f>
        <v>731.69736397035</v>
      </c>
      <c r="AS43" s="0" t="n">
        <f aca="false">MAX(0,AD43-H43)</f>
        <v>0</v>
      </c>
      <c r="AT43" s="0" t="n">
        <f aca="false">MIN(Assumptions!$B$29,AS43)</f>
        <v>0</v>
      </c>
      <c r="AU43" s="1" t="n">
        <f aca="false">IF(AS43&gt;=Assumptions!$B$29,0,-PV(Assumptions!$B$5,Assumptions!$B$29-AS43,AR43))</f>
        <v>23700.5999999999</v>
      </c>
      <c r="AV43" s="1" t="n">
        <f aca="false">(-PV(Assumptions!$B$3,AT43,AR43))/POWER(1+Assumptions!$B$2,AH43)</f>
        <v>0</v>
      </c>
      <c r="AW43" s="1" t="n">
        <f aca="false">-PV(Assumptions!$B$2,AH43,T43+AI43)</f>
        <v>5318.41766002654</v>
      </c>
      <c r="AX43" s="1" t="n">
        <f aca="false">(-PV(Assumptions!$B$2,C43,S43))-(-PV(Assumptions!$B$2,AH43,S43))</f>
        <v>0</v>
      </c>
      <c r="AY43" s="1" t="n">
        <f aca="false">AJ43+AW43+AX43+(-PV(Assumptions!$B$2,C43,R43))+X43-(W43/POWER(1+Assumptions!$B$2,C43))</f>
        <v>-1593.64439574632</v>
      </c>
      <c r="AZ43" s="1" t="n">
        <f aca="false">AY43+AV43+(AU43/POWER(1+Assumptions!$B$2,C43))</f>
        <v>19056.3194503496</v>
      </c>
      <c r="BA43" s="0" t="n">
        <f aca="false">AQ43/POWER(1+Assumptions!$B$2,AH43)</f>
        <v>20649.963846096</v>
      </c>
      <c r="BB43" s="1" t="n">
        <f aca="false">AY43+BA43</f>
        <v>19056.3194503497</v>
      </c>
      <c r="BC43" s="1" t="n">
        <f aca="false">AJ43+Assumptions!$B$28/POWER(1+Assumptions!$B$2,AH43)+(-PV(Assumptions!$B$2,AH43,R43+T43+AI43))</f>
        <v>20423.4453440935</v>
      </c>
      <c r="BD43" s="1" t="n">
        <f aca="false">MIN(Z43,AG43,AZ43)</f>
        <v>19056.3194503496</v>
      </c>
      <c r="BE43" s="0" t="str">
        <f aca="false">IF(BD43=Z43,"Cash",IF(BD43=AG43,"Loan","Lease then buy out"))</f>
        <v>Lease then buy out</v>
      </c>
    </row>
    <row r="44" customFormat="false" ht="15" hidden="false" customHeight="false" outlineLevel="0" collapsed="false">
      <c r="A44" s="0" t="s">
        <v>67</v>
      </c>
      <c r="B44" s="0" t="s">
        <v>100</v>
      </c>
      <c r="C44" s="0" t="n">
        <v>3</v>
      </c>
      <c r="D44" s="0" t="n">
        <v>0</v>
      </c>
      <c r="E44" s="0" t="n">
        <v>49945</v>
      </c>
      <c r="F44" s="0" t="n">
        <v>6259</v>
      </c>
      <c r="G44" s="0" t="n">
        <v>299</v>
      </c>
      <c r="H44" s="0" t="n">
        <v>36</v>
      </c>
      <c r="I44" s="0" t="n">
        <v>25</v>
      </c>
      <c r="J44" s="0" t="n">
        <v>15372</v>
      </c>
      <c r="K44" s="0" t="s">
        <v>99</v>
      </c>
      <c r="L44" s="0" t="n">
        <v>174.9</v>
      </c>
      <c r="M44" s="0" t="n">
        <f aca="false">MAX(Assumptions!$B$33,Assumptions!$B$30-Assumptions!$B$31*(H44-36)-IF(D44=1,Assumptions!$B$32,0))</f>
        <v>0.57</v>
      </c>
      <c r="N44" s="0" t="n">
        <f aca="false">E44*M44</f>
        <v>28468.65</v>
      </c>
      <c r="O44" s="0" t="n">
        <f aca="false">1-POWER(J44/E44,0.1)</f>
        <v>0.111159498302309</v>
      </c>
      <c r="P44" s="0" t="n">
        <f aca="false">E44*(1+Assumptions!$B$8)+Assumptions!$B$9</f>
        <v>52842.25</v>
      </c>
      <c r="Q44" s="0" t="n">
        <f aca="false">IF(D44=1,Assumptions!$B$14*33.7,Assumptions!$B$13)</f>
        <v>3.1</v>
      </c>
      <c r="R44" s="0" t="n">
        <f aca="false">(Assumptions!$B$10/I44)*Q44</f>
        <v>1240</v>
      </c>
      <c r="S44" s="0" t="n">
        <f aca="false">Assumptions!$B$15+Assumptions!$B$17</f>
        <v>1750</v>
      </c>
      <c r="T44" s="0" t="n">
        <f aca="false">Assumptions!$B$15*(1+Assumptions!$B$16)+Assumptions!$B$17</f>
        <v>1942</v>
      </c>
      <c r="U44" s="0" t="n">
        <f aca="false">IF(OR(C44&gt;Assumptions!$B$11,Assumptions!$B$10*C44&gt;Assumptions!$B$12),1,0)</f>
        <v>0</v>
      </c>
      <c r="V44" s="0" t="n">
        <f aca="false">MAX(0.6,1-Assumptions!$B$22*MAX(0,(Assumptions!$B$10-10000)*C44)/10000)</f>
        <v>1</v>
      </c>
      <c r="W44" s="0" t="n">
        <f aca="false">IF(U44=1,Assumptions!$B$23,MAX(Assumptions!$B$23,E44*POWER(1-O44,C44)*V44))</f>
        <v>35072.2416635405</v>
      </c>
      <c r="X44" s="0" t="n">
        <f aca="true">SUMPRODUCT((ROW(INDIRECT("1:"&amp;C44))&gt;Assumptions!$B$20)*Assumptions!$B$18*POWER(Assumptions!$B$19,ROW(INDIRECT("1:"&amp;C44))-Assumptions!$B$20-1)*IF(ROW(INDIRECT("1:"&amp;C44))&gt;Assumptions!$B$11,Assumptions!$B$21,1)/POWER(1+Assumptions!$B$2,ROW(INDIRECT("1:"&amp;C44))))</f>
        <v>0</v>
      </c>
      <c r="Y44" s="1" t="n">
        <f aca="false">-PV(Assumptions!$B$2,C44,R44+S44)+X44</f>
        <v>8188.50092867114</v>
      </c>
      <c r="Z44" s="1" t="n">
        <f aca="false">P44+Y44-(W44/POWER(1+Assumptions!$B$2,C44))</f>
        <v>30472.8527170793</v>
      </c>
      <c r="AA44" s="0" t="n">
        <f aca="false">P44*Assumptions!$B$7</f>
        <v>5284.225</v>
      </c>
      <c r="AB44" s="0" t="n">
        <f aca="false">P44-AA44</f>
        <v>47558.025</v>
      </c>
      <c r="AC44" s="1" t="n">
        <f aca="false">PMT(Assumptions!$B$5,Assumptions!$B$6,-AB44)</f>
        <v>941.481531804563</v>
      </c>
      <c r="AD44" s="0" t="n">
        <f aca="false">C44*12</f>
        <v>36</v>
      </c>
      <c r="AE44" s="0" t="n">
        <f aca="false">MIN(Assumptions!$B$6,AD44)</f>
        <v>36</v>
      </c>
      <c r="AF44" s="1" t="n">
        <f aca="false">IF(AD44&gt;=Assumptions!$B$6,0,-PV(Assumptions!$B$5,Assumptions!$B$6-AD44,AC44))</f>
        <v>21030.2128322062</v>
      </c>
      <c r="AG44" s="1" t="n">
        <f aca="false">AA44+(-PV(Assumptions!$B$3,AE44,AC44))+Y44-((W44-AF44)/POWER(1+Assumptions!$B$2,C44))</f>
        <v>32792.9323314941</v>
      </c>
      <c r="AH44" s="0" t="n">
        <f aca="false">H44/12</f>
        <v>3</v>
      </c>
      <c r="AI44" s="0" t="n">
        <f aca="false">MAX(0,Assumptions!$B$10-Assumptions!$B$24)*Assumptions!$B$25</f>
        <v>0</v>
      </c>
      <c r="AJ44" s="1" t="n">
        <f aca="false">F44+Assumptions!$B$27+(-PV(Assumptions!$B$3,H44-1,G44))</f>
        <v>16720.5699033336</v>
      </c>
      <c r="AK44" s="0" t="n">
        <f aca="false">CEILING(C44/AH44,1)</f>
        <v>1</v>
      </c>
      <c r="AL44" s="0" t="n">
        <f aca="false">(1+Assumptions!$B$26)/POWER(1+Assumptions!$B$2,AH44)</f>
        <v>0.906135810905202</v>
      </c>
      <c r="AM44" s="0" t="n">
        <f aca="false">IF(ABS(1-AL44)&lt;0.000000000001,AK44,(1-POWER(AL44,AK44))/(1-AL44))</f>
        <v>1</v>
      </c>
      <c r="AN44" s="0" t="n">
        <f aca="false">1/POWER(1+Assumptions!$B$2,AH44)</f>
        <v>0.871284433562695</v>
      </c>
      <c r="AO44" s="0" t="n">
        <f aca="false">IF(ABS(1-AN44)&lt;0.000000000001,AK44,AN44*(1-POWER(AN44,AK44))/(1-AN44))</f>
        <v>0.871284433562695</v>
      </c>
      <c r="AP44" s="1" t="n">
        <f aca="false">AJ44*AM44+Assumptions!$B$28*AO44+(-PV(Assumptions!$B$2,C44,R44+T44+AI44))</f>
        <v>25783.4013874716</v>
      </c>
      <c r="AQ44" s="0" t="n">
        <f aca="false">N44*(1+Assumptions!$B$8)</f>
        <v>29892.0825</v>
      </c>
      <c r="AR44" s="1" t="n">
        <f aca="false">PMT(Assumptions!$B$5,Assumptions!$B$29,-AQ44)</f>
        <v>922.844061704523</v>
      </c>
      <c r="AS44" s="0" t="n">
        <f aca="false">MAX(0,AD44-H44)</f>
        <v>0</v>
      </c>
      <c r="AT44" s="0" t="n">
        <f aca="false">MIN(Assumptions!$B$29,AS44)</f>
        <v>0</v>
      </c>
      <c r="AU44" s="1" t="n">
        <f aca="false">IF(AS44&gt;=Assumptions!$B$29,0,-PV(Assumptions!$B$5,Assumptions!$B$29-AS44,AR44))</f>
        <v>29892.0824999998</v>
      </c>
      <c r="AV44" s="1" t="n">
        <f aca="false">(-PV(Assumptions!$B$3,AT44,AR44))/POWER(1+Assumptions!$B$2,AH44)</f>
        <v>0</v>
      </c>
      <c r="AW44" s="1" t="n">
        <f aca="false">-PV(Assumptions!$B$2,AH44,T44+AI44)</f>
        <v>5318.41766002654</v>
      </c>
      <c r="AX44" s="1" t="n">
        <f aca="false">(-PV(Assumptions!$B$2,C44,S44))-(-PV(Assumptions!$B$2,AH44,S44))</f>
        <v>0</v>
      </c>
      <c r="AY44" s="1" t="n">
        <f aca="false">AJ44+AW44+AX44+(-PV(Assumptions!$B$2,C44,R44))+X44-(W44/POWER(1+Assumptions!$B$2,C44))</f>
        <v>-5123.0105975453</v>
      </c>
      <c r="AZ44" s="1" t="n">
        <f aca="false">AY44+AV44+(AU44/POWER(1+Assumptions!$B$2,C44))</f>
        <v>20921.4955714764</v>
      </c>
      <c r="BA44" s="0" t="n">
        <f aca="false">AQ44/POWER(1+Assumptions!$B$2,AH44)</f>
        <v>26044.5061690218</v>
      </c>
      <c r="BB44" s="1" t="n">
        <f aca="false">AY44+BA44</f>
        <v>20921.4955714765</v>
      </c>
      <c r="BC44" s="1" t="n">
        <f aca="false">AJ44+Assumptions!$B$28/POWER(1+Assumptions!$B$2,AH44)+(-PV(Assumptions!$B$2,AH44,R44+T44+AI44))</f>
        <v>25783.4013874716</v>
      </c>
      <c r="BD44" s="1" t="n">
        <f aca="false">MIN(Z44,AG44,AZ44)</f>
        <v>20921.4955714764</v>
      </c>
      <c r="BE44" s="0" t="str">
        <f aca="false">IF(BD44=Z44,"Cash",IF(BD44=AG44,"Loan","Lease then buy out"))</f>
        <v>Lease then buy out</v>
      </c>
    </row>
    <row r="45" customFormat="false" ht="15" hidden="false" customHeight="false" outlineLevel="0" collapsed="false">
      <c r="A45" s="0" t="s">
        <v>43</v>
      </c>
      <c r="B45" s="0" t="s">
        <v>101</v>
      </c>
      <c r="C45" s="0" t="n">
        <v>3</v>
      </c>
      <c r="D45" s="0" t="n">
        <v>1</v>
      </c>
      <c r="E45" s="0" t="n">
        <v>42600</v>
      </c>
      <c r="F45" s="0" t="n">
        <v>4499</v>
      </c>
      <c r="G45" s="0" t="n">
        <v>319</v>
      </c>
      <c r="H45" s="0" t="n">
        <v>36</v>
      </c>
      <c r="I45" s="0" t="n">
        <v>117</v>
      </c>
      <c r="J45" s="0" t="n">
        <v>8897</v>
      </c>
      <c r="K45" s="0" t="s">
        <v>99</v>
      </c>
      <c r="L45" s="0" t="n">
        <v>148.2</v>
      </c>
      <c r="M45" s="0" t="n">
        <f aca="false">MAX(Assumptions!$B$33,Assumptions!$B$30-Assumptions!$B$31*(H45-36)-IF(D45=1,Assumptions!$B$32,0))</f>
        <v>0.49</v>
      </c>
      <c r="N45" s="0" t="n">
        <f aca="false">E45*M45</f>
        <v>20874</v>
      </c>
      <c r="O45" s="0" t="n">
        <f aca="false">1-POWER(J45/E45,0.1)</f>
        <v>0.144965971311141</v>
      </c>
      <c r="P45" s="0" t="n">
        <f aca="false">E45*(1+Assumptions!$B$8)+Assumptions!$B$9</f>
        <v>45130</v>
      </c>
      <c r="Q45" s="0" t="n">
        <f aca="false">IF(D45=1,Assumptions!$B$14*33.7,Assumptions!$B$13)</f>
        <v>5.729</v>
      </c>
      <c r="R45" s="0" t="n">
        <f aca="false">(Assumptions!$B$10/I45)*Q45</f>
        <v>489.65811965812</v>
      </c>
      <c r="S45" s="0" t="n">
        <f aca="false">Assumptions!$B$15+Assumptions!$B$17</f>
        <v>1750</v>
      </c>
      <c r="T45" s="0" t="n">
        <f aca="false">Assumptions!$B$15*(1+Assumptions!$B$16)+Assumptions!$B$17</f>
        <v>1942</v>
      </c>
      <c r="U45" s="0" t="n">
        <f aca="false">IF(OR(C45&gt;Assumptions!$B$11,Assumptions!$B$10*C45&gt;Assumptions!$B$12),1,0)</f>
        <v>0</v>
      </c>
      <c r="V45" s="0" t="n">
        <f aca="false">MAX(0.6,1-Assumptions!$B$22*MAX(0,(Assumptions!$B$10-10000)*C45)/10000)</f>
        <v>1</v>
      </c>
      <c r="W45" s="0" t="n">
        <f aca="false">IF(U45=1,Assumptions!$B$23,MAX(Assumptions!$B$23,E45*POWER(1-O45,C45)*V45))</f>
        <v>26629.3028316164</v>
      </c>
      <c r="X45" s="0" t="n">
        <f aca="true">SUMPRODUCT((ROW(INDIRECT("1:"&amp;C45))&gt;Assumptions!$B$20)*Assumptions!$B$18*POWER(Assumptions!$B$19,ROW(INDIRECT("1:"&amp;C45))-Assumptions!$B$20-1)*IF(ROW(INDIRECT("1:"&amp;C45))&gt;Assumptions!$B$11,Assumptions!$B$21,1)/POWER(1+Assumptions!$B$2,ROW(INDIRECT("1:"&amp;C45))))</f>
        <v>0</v>
      </c>
      <c r="Y45" s="1" t="n">
        <f aca="false">-PV(Assumptions!$B$2,C45,R45+S45)+X45</f>
        <v>6133.59284037671</v>
      </c>
      <c r="Z45" s="1" t="n">
        <f aca="false">P45+Y45-(W45/POWER(1+Assumptions!$B$2,C45))</f>
        <v>28061.8958065624</v>
      </c>
      <c r="AA45" s="0" t="n">
        <f aca="false">P45*Assumptions!$B$7</f>
        <v>4513</v>
      </c>
      <c r="AB45" s="0" t="n">
        <f aca="false">P45-AA45</f>
        <v>40617</v>
      </c>
      <c r="AC45" s="1" t="n">
        <f aca="false">PMT(Assumptions!$B$5,Assumptions!$B$6,-AB45)</f>
        <v>804.073663221</v>
      </c>
      <c r="AD45" s="0" t="n">
        <f aca="false">C45*12</f>
        <v>36</v>
      </c>
      <c r="AE45" s="0" t="n">
        <f aca="false">MIN(Assumptions!$B$6,AD45)</f>
        <v>36</v>
      </c>
      <c r="AF45" s="1" t="n">
        <f aca="false">IF(AD45&gt;=Assumptions!$B$6,0,-PV(Assumptions!$B$5,Assumptions!$B$6-AD45,AC45))</f>
        <v>17960.8836701213</v>
      </c>
      <c r="AG45" s="1" t="n">
        <f aca="false">AA45+(-PV(Assumptions!$B$3,AE45,AC45))+Y45-((W45-AF45)/POWER(1+Assumptions!$B$2,C45))</f>
        <v>30043.3631551052</v>
      </c>
      <c r="AH45" s="0" t="n">
        <f aca="false">H45/12</f>
        <v>3</v>
      </c>
      <c r="AI45" s="0" t="n">
        <f aca="false">MAX(0,Assumptions!$B$10-Assumptions!$B$24)*Assumptions!$B$25</f>
        <v>0</v>
      </c>
      <c r="AJ45" s="1" t="n">
        <f aca="false">F45+Assumptions!$B$27+(-PV(Assumptions!$B$3,H45-1,G45))</f>
        <v>15613.5177229546</v>
      </c>
      <c r="AK45" s="0" t="n">
        <f aca="false">CEILING(C45/AH45,1)</f>
        <v>1</v>
      </c>
      <c r="AL45" s="0" t="n">
        <f aca="false">(1+Assumptions!$B$26)/POWER(1+Assumptions!$B$2,AH45)</f>
        <v>0.906135810905202</v>
      </c>
      <c r="AM45" s="0" t="n">
        <f aca="false">IF(ABS(1-AL45)&lt;0.000000000001,AK45,(1-POWER(AL45,AK45))/(1-AL45))</f>
        <v>1</v>
      </c>
      <c r="AN45" s="0" t="n">
        <f aca="false">1/POWER(1+Assumptions!$B$2,AH45)</f>
        <v>0.871284433562695</v>
      </c>
      <c r="AO45" s="0" t="n">
        <f aca="false">IF(ABS(1-AN45)&lt;0.000000000001,AK45,AN45*(1-POWER(AN45,AK45))/(1-AN45))</f>
        <v>0.871284433562695</v>
      </c>
      <c r="AP45" s="1" t="n">
        <f aca="false">AJ45*AM45+Assumptions!$B$28*AO45+(-PV(Assumptions!$B$2,C45,R45+T45+AI45))</f>
        <v>22621.4411187981</v>
      </c>
      <c r="AQ45" s="0" t="n">
        <f aca="false">N45*(1+Assumptions!$B$8)</f>
        <v>21917.7</v>
      </c>
      <c r="AR45" s="1" t="n">
        <f aca="false">PMT(Assumptions!$B$5,Assumptions!$B$29,-AQ45)</f>
        <v>676.65473930166</v>
      </c>
      <c r="AS45" s="0" t="n">
        <f aca="false">MAX(0,AD45-H45)</f>
        <v>0</v>
      </c>
      <c r="AT45" s="0" t="n">
        <f aca="false">MIN(Assumptions!$B$29,AS45)</f>
        <v>0</v>
      </c>
      <c r="AU45" s="1" t="n">
        <f aca="false">IF(AS45&gt;=Assumptions!$B$29,0,-PV(Assumptions!$B$5,Assumptions!$B$29-AS45,AR45))</f>
        <v>21917.6999999999</v>
      </c>
      <c r="AV45" s="1" t="n">
        <f aca="false">(-PV(Assumptions!$B$3,AT45,AR45))/POWER(1+Assumptions!$B$2,AH45)</f>
        <v>0</v>
      </c>
      <c r="AW45" s="1" t="n">
        <f aca="false">-PV(Assumptions!$B$2,AH45,T45+AI45)</f>
        <v>5318.41766002654</v>
      </c>
      <c r="AX45" s="1" t="n">
        <f aca="false">(-PV(Assumptions!$B$2,C45,S45))-(-PV(Assumptions!$B$2,AH45,S45))</f>
        <v>0</v>
      </c>
      <c r="AY45" s="1" t="n">
        <f aca="false">AJ45+AW45+AX45+(-PV(Assumptions!$B$2,C45,R45))+X45-(W45/POWER(1+Assumptions!$B$2,C45))</f>
        <v>-928.769688441265</v>
      </c>
      <c r="AZ45" s="1" t="n">
        <f aca="false">AY45+AV45+(AU45/POWER(1+Assumptions!$B$2,C45))</f>
        <v>18167.7811410557</v>
      </c>
      <c r="BA45" s="0" t="n">
        <f aca="false">AQ45/POWER(1+Assumptions!$B$2,AH45)</f>
        <v>19096.5508294971</v>
      </c>
      <c r="BB45" s="1" t="n">
        <f aca="false">AY45+BA45</f>
        <v>18167.7811410558</v>
      </c>
      <c r="BC45" s="1" t="n">
        <f aca="false">AJ45+Assumptions!$B$28/POWER(1+Assumptions!$B$2,AH45)+(-PV(Assumptions!$B$2,AH45,R45+T45+AI45))</f>
        <v>22621.4411187981</v>
      </c>
      <c r="BD45" s="1" t="n">
        <f aca="false">MIN(Z45,AG45,AZ45)</f>
        <v>18167.7811410557</v>
      </c>
      <c r="BE45" s="0" t="str">
        <f aca="false">IF(BD45=Z45,"Cash",IF(BD45=AG45,"Loan","Lease then buy out"))</f>
        <v>Lease then buy out</v>
      </c>
    </row>
    <row r="46" customFormat="false" ht="15" hidden="false" customHeight="false" outlineLevel="0" collapsed="false">
      <c r="A46" s="0" t="s">
        <v>67</v>
      </c>
      <c r="B46" s="0" t="s">
        <v>102</v>
      </c>
      <c r="C46" s="0" t="n">
        <v>3</v>
      </c>
      <c r="D46" s="0" t="n">
        <v>0</v>
      </c>
      <c r="E46" s="0" t="n">
        <v>24995</v>
      </c>
      <c r="F46" s="0" t="n">
        <v>4499</v>
      </c>
      <c r="G46" s="0" t="n">
        <v>179</v>
      </c>
      <c r="H46" s="0" t="n">
        <v>36</v>
      </c>
      <c r="I46" s="0" t="n">
        <v>26</v>
      </c>
      <c r="J46" s="0" t="n">
        <v>9787</v>
      </c>
      <c r="K46" s="0" t="s">
        <v>99</v>
      </c>
      <c r="L46" s="0" t="n">
        <v>115.1</v>
      </c>
      <c r="M46" s="0" t="n">
        <f aca="false">MAX(Assumptions!$B$33,Assumptions!$B$30-Assumptions!$B$31*(H46-36)-IF(D46=1,Assumptions!$B$32,0))</f>
        <v>0.57</v>
      </c>
      <c r="N46" s="0" t="n">
        <f aca="false">E46*M46</f>
        <v>14247.15</v>
      </c>
      <c r="O46" s="0" t="n">
        <f aca="false">1-POWER(J46/E46,0.1)</f>
        <v>0.0895006402886055</v>
      </c>
      <c r="P46" s="0" t="n">
        <f aca="false">E46*(1+Assumptions!$B$8)+Assumptions!$B$9</f>
        <v>26644.75</v>
      </c>
      <c r="Q46" s="0" t="n">
        <f aca="false">IF(D46=1,Assumptions!$B$14*33.7,Assumptions!$B$13)</f>
        <v>3.1</v>
      </c>
      <c r="R46" s="0" t="n">
        <f aca="false">(Assumptions!$B$10/I46)*Q46</f>
        <v>1192.30769230769</v>
      </c>
      <c r="S46" s="0" t="n">
        <f aca="false">Assumptions!$B$15+Assumptions!$B$17</f>
        <v>1750</v>
      </c>
      <c r="T46" s="0" t="n">
        <f aca="false">Assumptions!$B$15*(1+Assumptions!$B$16)+Assumptions!$B$17</f>
        <v>1942</v>
      </c>
      <c r="U46" s="0" t="n">
        <f aca="false">IF(OR(C46&gt;Assumptions!$B$11,Assumptions!$B$10*C46&gt;Assumptions!$B$12),1,0)</f>
        <v>0</v>
      </c>
      <c r="V46" s="0" t="n">
        <f aca="false">MAX(0.6,1-Assumptions!$B$22*MAX(0,(Assumptions!$B$10-10000)*C46)/10000)</f>
        <v>1</v>
      </c>
      <c r="W46" s="0" t="n">
        <f aca="false">IF(U46=1,Assumptions!$B$23,MAX(Assumptions!$B$23,E46*POWER(1-O46,C46)*V46))</f>
        <v>18866.5319440157</v>
      </c>
      <c r="X46" s="0" t="n">
        <f aca="true">SUMPRODUCT((ROW(INDIRECT("1:"&amp;C46))&gt;Assumptions!$B$20)*Assumptions!$B$18*POWER(Assumptions!$B$19,ROW(INDIRECT("1:"&amp;C46))-Assumptions!$B$20-1)*IF(ROW(INDIRECT("1:"&amp;C46))&gt;Assumptions!$B$11,Assumptions!$B$21,1)/POWER(1+Assumptions!$B$2,ROW(INDIRECT("1:"&amp;C46))))</f>
        <v>0</v>
      </c>
      <c r="Y46" s="1" t="n">
        <f aca="false">-PV(Assumptions!$B$2,C46,R46+S46)+X46</f>
        <v>8057.88938826013</v>
      </c>
      <c r="Z46" s="1" t="n">
        <f aca="false">P46+Y46-(W46/POWER(1+Assumptions!$B$2,C46))</f>
        <v>18264.5237901259</v>
      </c>
      <c r="AA46" s="0" t="n">
        <f aca="false">P46*Assumptions!$B$7</f>
        <v>2664.475</v>
      </c>
      <c r="AB46" s="0" t="n">
        <f aca="false">P46-AA46</f>
        <v>23980.275</v>
      </c>
      <c r="AC46" s="1" t="n">
        <f aca="false">PMT(Assumptions!$B$5,Assumptions!$B$6,-AB46)</f>
        <v>474.725055132013</v>
      </c>
      <c r="AD46" s="0" t="n">
        <f aca="false">C46*12</f>
        <v>36</v>
      </c>
      <c r="AE46" s="0" t="n">
        <f aca="false">MIN(Assumptions!$B$6,AD46)</f>
        <v>36</v>
      </c>
      <c r="AF46" s="1" t="n">
        <f aca="false">IF(AD46&gt;=Assumptions!$B$6,0,-PV(Assumptions!$B$5,Assumptions!$B$6-AD46,AC46))</f>
        <v>10604.1049228776</v>
      </c>
      <c r="AG46" s="1" t="n">
        <f aca="false">AA46+(-PV(Assumptions!$B$3,AE46,AC46))+Y46-((W46-AF46)/POWER(1+Assumptions!$B$2,C46))</f>
        <v>19434.3820248941</v>
      </c>
      <c r="AH46" s="0" t="n">
        <f aca="false">H46/12</f>
        <v>3</v>
      </c>
      <c r="AI46" s="0" t="n">
        <f aca="false">MAX(0,Assumptions!$B$10-Assumptions!$B$24)*Assumptions!$B$25</f>
        <v>0</v>
      </c>
      <c r="AJ46" s="1" t="n">
        <f aca="false">F46+Assumptions!$B$27+(-PV(Assumptions!$B$3,H46-1,G46))</f>
        <v>11042.8829856078</v>
      </c>
      <c r="AK46" s="0" t="n">
        <f aca="false">CEILING(C46/AH46,1)</f>
        <v>1</v>
      </c>
      <c r="AL46" s="0" t="n">
        <f aca="false">(1+Assumptions!$B$26)/POWER(1+Assumptions!$B$2,AH46)</f>
        <v>0.906135810905202</v>
      </c>
      <c r="AM46" s="0" t="n">
        <f aca="false">IF(ABS(1-AL46)&lt;0.000000000001,AK46,(1-POWER(AL46,AK46))/(1-AL46))</f>
        <v>1</v>
      </c>
      <c r="AN46" s="0" t="n">
        <f aca="false">1/POWER(1+Assumptions!$B$2,AH46)</f>
        <v>0.871284433562695</v>
      </c>
      <c r="AO46" s="0" t="n">
        <f aca="false">IF(ABS(1-AN46)&lt;0.000000000001,AK46,AN46*(1-POWER(AN46,AK46))/(1-AN46))</f>
        <v>0.871284433562695</v>
      </c>
      <c r="AP46" s="1" t="n">
        <f aca="false">AJ46*AM46+Assumptions!$B$28*AO46+(-PV(Assumptions!$B$2,C46,R46+T46+AI46))</f>
        <v>19975.1029293347</v>
      </c>
      <c r="AQ46" s="0" t="n">
        <f aca="false">N46*(1+Assumptions!$B$8)</f>
        <v>14959.5075</v>
      </c>
      <c r="AR46" s="1" t="n">
        <f aca="false">PMT(Assumptions!$B$5,Assumptions!$B$29,-AQ46)</f>
        <v>461.837767990881</v>
      </c>
      <c r="AS46" s="0" t="n">
        <f aca="false">MAX(0,AD46-H46)</f>
        <v>0</v>
      </c>
      <c r="AT46" s="0" t="n">
        <f aca="false">MIN(Assumptions!$B$29,AS46)</f>
        <v>0</v>
      </c>
      <c r="AU46" s="1" t="n">
        <f aca="false">IF(AS46&gt;=Assumptions!$B$29,0,-PV(Assumptions!$B$5,Assumptions!$B$29-AS46,AR46))</f>
        <v>14959.5074999999</v>
      </c>
      <c r="AV46" s="1" t="n">
        <f aca="false">(-PV(Assumptions!$B$3,AT46,AR46))/POWER(1+Assumptions!$B$2,AH46)</f>
        <v>0</v>
      </c>
      <c r="AW46" s="1" t="n">
        <f aca="false">-PV(Assumptions!$B$2,AH46,T46+AI46)</f>
        <v>5318.41766002654</v>
      </c>
      <c r="AX46" s="1" t="n">
        <f aca="false">(-PV(Assumptions!$B$2,C46,S46))-(-PV(Assumptions!$B$2,AH46,S46))</f>
        <v>0</v>
      </c>
      <c r="AY46" s="1" t="n">
        <f aca="false">AJ46+AW46+AX46+(-PV(Assumptions!$B$2,C46,R46))+X46-(W46/POWER(1+Assumptions!$B$2,C46))</f>
        <v>3188.47355777545</v>
      </c>
      <c r="AZ46" s="1" t="n">
        <f aca="false">AY46+AV46+(AU46/POWER(1+Assumptions!$B$2,C46))</f>
        <v>16222.4595762898</v>
      </c>
      <c r="BA46" s="0" t="n">
        <f aca="false">AQ46/POWER(1+Assumptions!$B$2,AH46)</f>
        <v>13033.9860185144</v>
      </c>
      <c r="BB46" s="1" t="n">
        <f aca="false">AY46+BA46</f>
        <v>16222.4595762898</v>
      </c>
      <c r="BC46" s="1" t="n">
        <f aca="false">AJ46+Assumptions!$B$28/POWER(1+Assumptions!$B$2,AH46)+(-PV(Assumptions!$B$2,AH46,R46+T46+AI46))</f>
        <v>19975.1029293347</v>
      </c>
      <c r="BD46" s="1" t="n">
        <f aca="false">MIN(Z46,AG46,AZ46)</f>
        <v>16222.4595762898</v>
      </c>
      <c r="BE46" s="0" t="str">
        <f aca="false">IF(BD46=Z46,"Cash",IF(BD46=AG46,"Loan","Lease then buy out"))</f>
        <v>Lease then buy out</v>
      </c>
    </row>
    <row r="47" customFormat="false" ht="15" hidden="false" customHeight="false" outlineLevel="0" collapsed="false">
      <c r="A47" s="0" t="s">
        <v>103</v>
      </c>
      <c r="B47" s="0" t="s">
        <v>104</v>
      </c>
      <c r="C47" s="0" t="n">
        <v>3</v>
      </c>
      <c r="D47" s="0" t="n">
        <v>0</v>
      </c>
      <c r="E47" s="0" t="n">
        <v>38800</v>
      </c>
      <c r="F47" s="0" t="n">
        <v>3999</v>
      </c>
      <c r="G47" s="0" t="n">
        <v>379</v>
      </c>
      <c r="H47" s="0" t="n">
        <v>36</v>
      </c>
      <c r="I47" s="0" t="n">
        <v>24</v>
      </c>
      <c r="J47" s="0" t="n">
        <v>14420</v>
      </c>
      <c r="K47" s="0" t="s">
        <v>99</v>
      </c>
      <c r="L47" s="0" t="n">
        <v>100.3</v>
      </c>
      <c r="M47" s="0" t="n">
        <f aca="false">MAX(Assumptions!$B$33,Assumptions!$B$30-Assumptions!$B$31*(H47-36)-IF(D47=1,Assumptions!$B$32,0))</f>
        <v>0.57</v>
      </c>
      <c r="N47" s="0" t="n">
        <f aca="false">E47*M47</f>
        <v>22116</v>
      </c>
      <c r="O47" s="0" t="n">
        <f aca="false">1-POWER(J47/E47,0.1)</f>
        <v>0.0942395496410304</v>
      </c>
      <c r="P47" s="0" t="n">
        <f aca="false">E47*(1+Assumptions!$B$8)+Assumptions!$B$9</f>
        <v>41140</v>
      </c>
      <c r="Q47" s="0" t="n">
        <f aca="false">IF(D47=1,Assumptions!$B$14*33.7,Assumptions!$B$13)</f>
        <v>3.1</v>
      </c>
      <c r="R47" s="0" t="n">
        <f aca="false">(Assumptions!$B$10/I47)*Q47</f>
        <v>1291.66666666667</v>
      </c>
      <c r="S47" s="0" t="n">
        <f aca="false">Assumptions!$B$15+Assumptions!$B$17</f>
        <v>1750</v>
      </c>
      <c r="T47" s="0" t="n">
        <f aca="false">Assumptions!$B$15*(1+Assumptions!$B$16)+Assumptions!$B$17</f>
        <v>1942</v>
      </c>
      <c r="U47" s="0" t="n">
        <f aca="false">IF(OR(C47&gt;Assumptions!$B$11,Assumptions!$B$10*C47&gt;Assumptions!$B$12),1,0)</f>
        <v>0</v>
      </c>
      <c r="V47" s="0" t="n">
        <f aca="false">MAX(0.6,1-Assumptions!$B$22*MAX(0,(Assumptions!$B$10-10000)*C47)/10000)</f>
        <v>1</v>
      </c>
      <c r="W47" s="0" t="n">
        <f aca="false">IF(U47=1,Assumptions!$B$23,MAX(Assumptions!$B$23,E47*POWER(1-O47,C47)*V47))</f>
        <v>28831.8019470862</v>
      </c>
      <c r="X47" s="0" t="n">
        <f aca="true">SUMPRODUCT((ROW(INDIRECT("1:"&amp;C47))&gt;Assumptions!$B$20)*Assumptions!$B$18*POWER(Assumptions!$B$19,ROW(INDIRECT("1:"&amp;C47))-Assumptions!$B$20-1)*IF(ROW(INDIRECT("1:"&amp;C47))&gt;Assumptions!$B$11,Assumptions!$B$21,1)/POWER(1+Assumptions!$B$2,ROW(INDIRECT("1:"&amp;C47))))</f>
        <v>0</v>
      </c>
      <c r="Y47" s="1" t="n">
        <f aca="false">-PV(Assumptions!$B$2,C47,R47+S47)+X47</f>
        <v>8329.99676411641</v>
      </c>
      <c r="Z47" s="1" t="n">
        <f aca="false">P47+Y47-(W47/POWER(1+Assumptions!$B$2,C47))</f>
        <v>24349.2965360576</v>
      </c>
      <c r="AA47" s="0" t="n">
        <f aca="false">P47*Assumptions!$B$7</f>
        <v>4114</v>
      </c>
      <c r="AB47" s="0" t="n">
        <f aca="false">P47-AA47</f>
        <v>37026</v>
      </c>
      <c r="AC47" s="1" t="n">
        <f aca="false">PMT(Assumptions!$B$5,Assumptions!$B$6,-AB47)</f>
        <v>732.984500441213</v>
      </c>
      <c r="AD47" s="0" t="n">
        <f aca="false">C47*12</f>
        <v>36</v>
      </c>
      <c r="AE47" s="0" t="n">
        <f aca="false">MIN(Assumptions!$B$6,AD47)</f>
        <v>36</v>
      </c>
      <c r="AF47" s="1" t="n">
        <f aca="false">IF(AD47&gt;=Assumptions!$B$6,0,-PV(Assumptions!$B$5,Assumptions!$B$6-AD47,AC47))</f>
        <v>16372.9393793217</v>
      </c>
      <c r="AG47" s="1" t="n">
        <f aca="false">AA47+(-PV(Assumptions!$B$3,AE47,AC47))+Y47-((W47-AF47)/POWER(1+Assumptions!$B$2,C47))</f>
        <v>26155.5798668587</v>
      </c>
      <c r="AH47" s="0" t="n">
        <f aca="false">H47/12</f>
        <v>3</v>
      </c>
      <c r="AI47" s="0" t="n">
        <f aca="false">MAX(0,Assumptions!$B$10-Assumptions!$B$24)*Assumptions!$B$25</f>
        <v>0</v>
      </c>
      <c r="AJ47" s="1" t="n">
        <f aca="false">F47+Assumptions!$B$27+(-PV(Assumptions!$B$3,H47-1,G47))</f>
        <v>17072.3611818175</v>
      </c>
      <c r="AK47" s="0" t="n">
        <f aca="false">CEILING(C47/AH47,1)</f>
        <v>1</v>
      </c>
      <c r="AL47" s="0" t="n">
        <f aca="false">(1+Assumptions!$B$26)/POWER(1+Assumptions!$B$2,AH47)</f>
        <v>0.906135810905202</v>
      </c>
      <c r="AM47" s="0" t="n">
        <f aca="false">IF(ABS(1-AL47)&lt;0.000000000001,AK47,(1-POWER(AL47,AK47))/(1-AL47))</f>
        <v>1</v>
      </c>
      <c r="AN47" s="0" t="n">
        <f aca="false">1/POWER(1+Assumptions!$B$2,AH47)</f>
        <v>0.871284433562695</v>
      </c>
      <c r="AO47" s="0" t="n">
        <f aca="false">IF(ABS(1-AN47)&lt;0.000000000001,AK47,AN47*(1-POWER(AN47,AK47))/(1-AN47))</f>
        <v>0.871284433562695</v>
      </c>
      <c r="AP47" s="1" t="n">
        <f aca="false">AJ47*AM47+Assumptions!$B$28*AO47+(-PV(Assumptions!$B$2,C47,R47+T47+AI47))</f>
        <v>26276.6885014008</v>
      </c>
      <c r="AQ47" s="0" t="n">
        <f aca="false">N47*(1+Assumptions!$B$8)</f>
        <v>23221.8</v>
      </c>
      <c r="AR47" s="1" t="n">
        <f aca="false">PMT(Assumptions!$B$5,Assumptions!$B$29,-AQ47)</f>
        <v>716.915599041655</v>
      </c>
      <c r="AS47" s="0" t="n">
        <f aca="false">MAX(0,AD47-H47)</f>
        <v>0</v>
      </c>
      <c r="AT47" s="0" t="n">
        <f aca="false">MIN(Assumptions!$B$29,AS47)</f>
        <v>0</v>
      </c>
      <c r="AU47" s="1" t="n">
        <f aca="false">IF(AS47&gt;=Assumptions!$B$29,0,-PV(Assumptions!$B$5,Assumptions!$B$29-AS47,AR47))</f>
        <v>23221.7999999999</v>
      </c>
      <c r="AV47" s="1" t="n">
        <f aca="false">(-PV(Assumptions!$B$3,AT47,AR47))/POWER(1+Assumptions!$B$2,AH47)</f>
        <v>0</v>
      </c>
      <c r="AW47" s="1" t="n">
        <f aca="false">-PV(Assumptions!$B$2,AH47,T47+AI47)</f>
        <v>5318.41766002654</v>
      </c>
      <c r="AX47" s="1" t="n">
        <f aca="false">(-PV(Assumptions!$B$2,C47,S47))-(-PV(Assumptions!$B$2,AH47,S47))</f>
        <v>0</v>
      </c>
      <c r="AY47" s="1" t="n">
        <f aca="false">AJ47+AW47+AX47+(-PV(Assumptions!$B$2,C47,R47))+X47-(W47/POWER(1+Assumptions!$B$2,C47))</f>
        <v>807.47449991688</v>
      </c>
      <c r="AZ47" s="1" t="n">
        <f aca="false">AY47+AV47+(AU47/POWER(1+Assumptions!$B$2,C47))</f>
        <v>21040.267359223</v>
      </c>
      <c r="BA47" s="0" t="n">
        <f aca="false">AQ47/POWER(1+Assumptions!$B$2,AH47)</f>
        <v>20232.7928593062</v>
      </c>
      <c r="BB47" s="1" t="n">
        <f aca="false">AY47+BA47</f>
        <v>21040.2673592231</v>
      </c>
      <c r="BC47" s="1" t="n">
        <f aca="false">AJ47+Assumptions!$B$28/POWER(1+Assumptions!$B$2,AH47)+(-PV(Assumptions!$B$2,AH47,R47+T47+AI47))</f>
        <v>26276.6885014008</v>
      </c>
      <c r="BD47" s="1" t="n">
        <f aca="false">MIN(Z47,AG47,AZ47)</f>
        <v>21040.267359223</v>
      </c>
      <c r="BE47" s="0" t="str">
        <f aca="false">IF(BD47=Z47,"Cash",IF(BD47=AG47,"Loan","Lease then buy out"))</f>
        <v>Lease then buy out</v>
      </c>
    </row>
    <row r="48" customFormat="false" ht="15" hidden="false" customHeight="false" outlineLevel="0" collapsed="false">
      <c r="A48" s="0" t="s">
        <v>105</v>
      </c>
      <c r="B48" s="0" t="s">
        <v>106</v>
      </c>
      <c r="C48" s="0" t="n">
        <v>3</v>
      </c>
      <c r="D48" s="0" t="n">
        <v>0</v>
      </c>
      <c r="E48" s="0" t="n">
        <v>41330</v>
      </c>
      <c r="F48" s="0" t="n">
        <v>2951</v>
      </c>
      <c r="G48" s="0" t="n">
        <v>451</v>
      </c>
      <c r="H48" s="0" t="n">
        <v>36</v>
      </c>
      <c r="I48" s="0" t="n">
        <v>24</v>
      </c>
      <c r="J48" s="0" t="n">
        <v>11099</v>
      </c>
      <c r="K48" s="0" t="s">
        <v>107</v>
      </c>
      <c r="L48" s="0" t="n">
        <v>154.9</v>
      </c>
      <c r="M48" s="0" t="n">
        <f aca="false">MAX(Assumptions!$B$33,Assumptions!$B$30-Assumptions!$B$31*(H48-36)-IF(D48=1,Assumptions!$B$32,0))</f>
        <v>0.57</v>
      </c>
      <c r="N48" s="0" t="n">
        <f aca="false">E48*M48</f>
        <v>23558.1</v>
      </c>
      <c r="O48" s="0" t="n">
        <f aca="false">1-POWER(J48/E48,0.1)</f>
        <v>0.123197368409735</v>
      </c>
      <c r="P48" s="0" t="n">
        <f aca="false">E48*(1+Assumptions!$B$8)+Assumptions!$B$9</f>
        <v>43796.5</v>
      </c>
      <c r="Q48" s="0" t="n">
        <f aca="false">IF(D48=1,Assumptions!$B$14*33.7,Assumptions!$B$13)</f>
        <v>3.1</v>
      </c>
      <c r="R48" s="0" t="n">
        <f aca="false">(Assumptions!$B$10/I48)*Q48</f>
        <v>1291.66666666667</v>
      </c>
      <c r="S48" s="0" t="n">
        <f aca="false">Assumptions!$B$15+Assumptions!$B$17</f>
        <v>1750</v>
      </c>
      <c r="T48" s="0" t="n">
        <f aca="false">Assumptions!$B$15*(1+Assumptions!$B$16)+Assumptions!$B$17</f>
        <v>1942</v>
      </c>
      <c r="U48" s="0" t="n">
        <f aca="false">IF(OR(C48&gt;Assumptions!$B$11,Assumptions!$B$10*C48&gt;Assumptions!$B$12),1,0)</f>
        <v>0</v>
      </c>
      <c r="V48" s="0" t="n">
        <f aca="false">MAX(0.6,1-Assumptions!$B$22*MAX(0,(Assumptions!$B$10-10000)*C48)/10000)</f>
        <v>1</v>
      </c>
      <c r="W48" s="0" t="n">
        <f aca="false">IF(U48=1,Assumptions!$B$23,MAX(Assumptions!$B$23,E48*POWER(1-O48,C48)*V48))</f>
        <v>27859.3474112656</v>
      </c>
      <c r="X48" s="0" t="n">
        <f aca="true">SUMPRODUCT((ROW(INDIRECT("1:"&amp;C48))&gt;Assumptions!$B$20)*Assumptions!$B$18*POWER(Assumptions!$B$19,ROW(INDIRECT("1:"&amp;C48))-Assumptions!$B$20-1)*IF(ROW(INDIRECT("1:"&amp;C48))&gt;Assumptions!$B$11,Assumptions!$B$21,1)/POWER(1+Assumptions!$B$2,ROW(INDIRECT("1:"&amp;C48))))</f>
        <v>0</v>
      </c>
      <c r="Y48" s="1" t="n">
        <f aca="false">-PV(Assumptions!$B$2,C48,R48+S48)+X48</f>
        <v>8329.99676411641</v>
      </c>
      <c r="Z48" s="1" t="n">
        <f aca="false">P48+Y48-(W48/POWER(1+Assumptions!$B$2,C48))</f>
        <v>27853.0810354656</v>
      </c>
      <c r="AA48" s="0" t="n">
        <f aca="false">P48*Assumptions!$B$7</f>
        <v>4379.65</v>
      </c>
      <c r="AB48" s="0" t="n">
        <f aca="false">P48-AA48</f>
        <v>39416.85</v>
      </c>
      <c r="AC48" s="1" t="n">
        <f aca="false">PMT(Assumptions!$B$5,Assumptions!$B$6,-AB48)</f>
        <v>780.314916713019</v>
      </c>
      <c r="AD48" s="0" t="n">
        <f aca="false">C48*12</f>
        <v>36</v>
      </c>
      <c r="AE48" s="0" t="n">
        <f aca="false">MIN(Assumptions!$B$6,AD48)</f>
        <v>36</v>
      </c>
      <c r="AF48" s="1" t="n">
        <f aca="false">IF(AD48&gt;=Assumptions!$B$6,0,-PV(Assumptions!$B$5,Assumptions!$B$6-AD48,AC48))</f>
        <v>17430.175972933</v>
      </c>
      <c r="AG48" s="1" t="n">
        <f aca="false">AA48+(-PV(Assumptions!$B$3,AE48,AC48))+Y48-((W48-AF48)/POWER(1+Assumptions!$B$2,C48))</f>
        <v>29776.0000412368</v>
      </c>
      <c r="AH48" s="0" t="n">
        <f aca="false">H48/12</f>
        <v>3</v>
      </c>
      <c r="AI48" s="0" t="n">
        <f aca="false">MAX(0,Assumptions!$B$10-Assumptions!$B$24)*Assumptions!$B$25</f>
        <v>0</v>
      </c>
      <c r="AJ48" s="1" t="n">
        <f aca="false">F48+Assumptions!$B$27+(-PV(Assumptions!$B$3,H48-1,G48))</f>
        <v>18374.973332453</v>
      </c>
      <c r="AK48" s="0" t="n">
        <f aca="false">CEILING(C48/AH48,1)</f>
        <v>1</v>
      </c>
      <c r="AL48" s="0" t="n">
        <f aca="false">(1+Assumptions!$B$26)/POWER(1+Assumptions!$B$2,AH48)</f>
        <v>0.906135810905202</v>
      </c>
      <c r="AM48" s="0" t="n">
        <f aca="false">IF(ABS(1-AL48)&lt;0.000000000001,AK48,(1-POWER(AL48,AK48))/(1-AL48))</f>
        <v>1</v>
      </c>
      <c r="AN48" s="0" t="n">
        <f aca="false">1/POWER(1+Assumptions!$B$2,AH48)</f>
        <v>0.871284433562695</v>
      </c>
      <c r="AO48" s="0" t="n">
        <f aca="false">IF(ABS(1-AN48)&lt;0.000000000001,AK48,AN48*(1-POWER(AN48,AK48))/(1-AN48))</f>
        <v>0.871284433562695</v>
      </c>
      <c r="AP48" s="1" t="n">
        <f aca="false">AJ48*AM48+Assumptions!$B$28*AO48+(-PV(Assumptions!$B$2,C48,R48+T48+AI48))</f>
        <v>27579.3006520363</v>
      </c>
      <c r="AQ48" s="0" t="n">
        <f aca="false">N48*(1+Assumptions!$B$8)</f>
        <v>24736.005</v>
      </c>
      <c r="AR48" s="1" t="n">
        <f aca="false">PMT(Assumptions!$B$5,Assumptions!$B$29,-AQ48)</f>
        <v>763.66293062865</v>
      </c>
      <c r="AS48" s="0" t="n">
        <f aca="false">MAX(0,AD48-H48)</f>
        <v>0</v>
      </c>
      <c r="AT48" s="0" t="n">
        <f aca="false">MIN(Assumptions!$B$29,AS48)</f>
        <v>0</v>
      </c>
      <c r="AU48" s="1" t="n">
        <f aca="false">IF(AS48&gt;=Assumptions!$B$29,0,-PV(Assumptions!$B$5,Assumptions!$B$29-AS48,AR48))</f>
        <v>24736.0049999999</v>
      </c>
      <c r="AV48" s="1" t="n">
        <f aca="false">(-PV(Assumptions!$B$3,AT48,AR48))/POWER(1+Assumptions!$B$2,AH48)</f>
        <v>0</v>
      </c>
      <c r="AW48" s="1" t="n">
        <f aca="false">-PV(Assumptions!$B$2,AH48,T48+AI48)</f>
        <v>5318.41766002654</v>
      </c>
      <c r="AX48" s="1" t="n">
        <f aca="false">(-PV(Assumptions!$B$2,C48,S48))-(-PV(Assumptions!$B$2,AH48,S48))</f>
        <v>0</v>
      </c>
      <c r="AY48" s="1" t="n">
        <f aca="false">AJ48+AW48+AX48+(-PV(Assumptions!$B$2,C48,R48))+X48-(W48/POWER(1+Assumptions!$B$2,C48))</f>
        <v>2957.37114996038</v>
      </c>
      <c r="AZ48" s="1" t="n">
        <f aca="false">AY48+AV48+(AU48/POWER(1+Assumptions!$B$2,C48))</f>
        <v>24509.4672549893</v>
      </c>
      <c r="BA48" s="0" t="n">
        <f aca="false">AQ48/POWER(1+Assumptions!$B$2,AH48)</f>
        <v>21552.096105029</v>
      </c>
      <c r="BB48" s="1" t="n">
        <f aca="false">AY48+BA48</f>
        <v>24509.4672549894</v>
      </c>
      <c r="BC48" s="1" t="n">
        <f aca="false">AJ48+Assumptions!$B$28/POWER(1+Assumptions!$B$2,AH48)+(-PV(Assumptions!$B$2,AH48,R48+T48+AI48))</f>
        <v>27579.3006520363</v>
      </c>
      <c r="BD48" s="1" t="n">
        <f aca="false">MIN(Z48,AG48,AZ48)</f>
        <v>24509.4672549893</v>
      </c>
      <c r="BE48" s="0" t="str">
        <f aca="false">IF(BD48=Z48,"Cash",IF(BD48=AG48,"Loan","Lease then buy out"))</f>
        <v>Lease then buy out</v>
      </c>
    </row>
    <row r="49" customFormat="false" ht="15" hidden="false" customHeight="false" outlineLevel="0" collapsed="false">
      <c r="A49" s="0" t="s">
        <v>41</v>
      </c>
      <c r="B49" s="0" t="s">
        <v>108</v>
      </c>
      <c r="C49" s="0" t="n">
        <v>3</v>
      </c>
      <c r="D49" s="0" t="n">
        <v>0</v>
      </c>
      <c r="E49" s="0" t="n">
        <v>27500</v>
      </c>
      <c r="F49" s="0" t="n">
        <v>4011</v>
      </c>
      <c r="G49" s="0" t="n">
        <v>251</v>
      </c>
      <c r="H49" s="0" t="n">
        <v>36</v>
      </c>
      <c r="I49" s="0" t="n">
        <v>26</v>
      </c>
      <c r="J49" s="0" t="n">
        <v>8845</v>
      </c>
      <c r="K49" s="0" t="s">
        <v>99</v>
      </c>
      <c r="L49" s="0" t="n">
        <v>174.8</v>
      </c>
      <c r="M49" s="0" t="n">
        <f aca="false">MAX(Assumptions!$B$33,Assumptions!$B$30-Assumptions!$B$31*(H49-36)-IF(D49=1,Assumptions!$B$32,0))</f>
        <v>0.57</v>
      </c>
      <c r="N49" s="0" t="n">
        <f aca="false">E49*M49</f>
        <v>15675</v>
      </c>
      <c r="O49" s="0" t="n">
        <f aca="false">1-POWER(J49/E49,0.1)</f>
        <v>0.107236318678628</v>
      </c>
      <c r="P49" s="0" t="n">
        <f aca="false">E49*(1+Assumptions!$B$8)+Assumptions!$B$9</f>
        <v>29275</v>
      </c>
      <c r="Q49" s="0" t="n">
        <f aca="false">IF(D49=1,Assumptions!$B$14*33.7,Assumptions!$B$13)</f>
        <v>3.1</v>
      </c>
      <c r="R49" s="0" t="n">
        <f aca="false">(Assumptions!$B$10/I49)*Q49</f>
        <v>1192.30769230769</v>
      </c>
      <c r="S49" s="0" t="n">
        <f aca="false">Assumptions!$B$15+Assumptions!$B$17</f>
        <v>1750</v>
      </c>
      <c r="T49" s="0" t="n">
        <f aca="false">Assumptions!$B$15*(1+Assumptions!$B$16)+Assumptions!$B$17</f>
        <v>1942</v>
      </c>
      <c r="U49" s="0" t="n">
        <f aca="false">IF(OR(C49&gt;Assumptions!$B$11,Assumptions!$B$10*C49&gt;Assumptions!$B$12),1,0)</f>
        <v>0</v>
      </c>
      <c r="V49" s="0" t="n">
        <f aca="false">MAX(0.6,1-Assumptions!$B$22*MAX(0,(Assumptions!$B$10-10000)*C49)/10000)</f>
        <v>1</v>
      </c>
      <c r="W49" s="0" t="n">
        <f aca="false">IF(U49=1,Assumptions!$B$23,MAX(Assumptions!$B$23,E49*POWER(1-O49,C49)*V49))</f>
        <v>19567.8106337385</v>
      </c>
      <c r="X49" s="0" t="n">
        <f aca="true">SUMPRODUCT((ROW(INDIRECT("1:"&amp;C49))&gt;Assumptions!$B$20)*Assumptions!$B$18*POWER(Assumptions!$B$19,ROW(INDIRECT("1:"&amp;C49))-Assumptions!$B$20-1)*IF(ROW(INDIRECT("1:"&amp;C49))&gt;Assumptions!$B$11,Assumptions!$B$21,1)/POWER(1+Assumptions!$B$2,ROW(INDIRECT("1:"&amp;C49))))</f>
        <v>0</v>
      </c>
      <c r="Y49" s="1" t="n">
        <f aca="false">-PV(Assumptions!$B$2,C49,R49+S49)+X49</f>
        <v>8057.88938826013</v>
      </c>
      <c r="Z49" s="1" t="n">
        <f aca="false">P49+Y49-(W49/POWER(1+Assumptions!$B$2,C49))</f>
        <v>20283.7605841812</v>
      </c>
      <c r="AA49" s="0" t="n">
        <f aca="false">P49*Assumptions!$B$7</f>
        <v>2927.5</v>
      </c>
      <c r="AB49" s="0" t="n">
        <f aca="false">P49-AA49</f>
        <v>26347.5</v>
      </c>
      <c r="AC49" s="1" t="n">
        <f aca="false">PMT(Assumptions!$B$5,Assumptions!$B$6,-AB49)</f>
        <v>521.587779543425</v>
      </c>
      <c r="AD49" s="0" t="n">
        <f aca="false">C49*12</f>
        <v>36</v>
      </c>
      <c r="AE49" s="0" t="n">
        <f aca="false">MIN(Assumptions!$B$6,AD49)</f>
        <v>36</v>
      </c>
      <c r="AF49" s="1" t="n">
        <f aca="false">IF(AD49&gt;=Assumptions!$B$6,0,-PV(Assumptions!$B$5,Assumptions!$B$6-AD49,AC49))</f>
        <v>11650.8945145757</v>
      </c>
      <c r="AG49" s="1" t="n">
        <f aca="false">AA49+(-PV(Assumptions!$B$3,AE49,AC49))+Y49-((W49-AF49)/POWER(1+Assumptions!$B$2,C49))</f>
        <v>21569.101967487</v>
      </c>
      <c r="AH49" s="0" t="n">
        <f aca="false">H49/12</f>
        <v>3</v>
      </c>
      <c r="AI49" s="0" t="n">
        <f aca="false">MAX(0,Assumptions!$B$10-Assumptions!$B$24)*Assumptions!$B$25</f>
        <v>0</v>
      </c>
      <c r="AJ49" s="1" t="n">
        <f aca="false">F49+Assumptions!$B$27+(-PV(Assumptions!$B$3,H49-1,G49))</f>
        <v>12905.4951362433</v>
      </c>
      <c r="AK49" s="0" t="n">
        <f aca="false">CEILING(C49/AH49,1)</f>
        <v>1</v>
      </c>
      <c r="AL49" s="0" t="n">
        <f aca="false">(1+Assumptions!$B$26)/POWER(1+Assumptions!$B$2,AH49)</f>
        <v>0.906135810905202</v>
      </c>
      <c r="AM49" s="0" t="n">
        <f aca="false">IF(ABS(1-AL49)&lt;0.000000000001,AK49,(1-POWER(AL49,AK49))/(1-AL49))</f>
        <v>1</v>
      </c>
      <c r="AN49" s="0" t="n">
        <f aca="false">1/POWER(1+Assumptions!$B$2,AH49)</f>
        <v>0.871284433562695</v>
      </c>
      <c r="AO49" s="0" t="n">
        <f aca="false">IF(ABS(1-AN49)&lt;0.000000000001,AK49,AN49*(1-POWER(AN49,AK49))/(1-AN49))</f>
        <v>0.871284433562695</v>
      </c>
      <c r="AP49" s="1" t="n">
        <f aca="false">AJ49*AM49+Assumptions!$B$28*AO49+(-PV(Assumptions!$B$2,C49,R49+T49+AI49))</f>
        <v>21837.7150799702</v>
      </c>
      <c r="AQ49" s="0" t="n">
        <f aca="false">N49*(1+Assumptions!$B$8)</f>
        <v>16458.75</v>
      </c>
      <c r="AR49" s="1" t="n">
        <f aca="false">PMT(Assumptions!$B$5,Assumptions!$B$29,-AQ49)</f>
        <v>508.123169423854</v>
      </c>
      <c r="AS49" s="0" t="n">
        <f aca="false">MAX(0,AD49-H49)</f>
        <v>0</v>
      </c>
      <c r="AT49" s="0" t="n">
        <f aca="false">MIN(Assumptions!$B$29,AS49)</f>
        <v>0</v>
      </c>
      <c r="AU49" s="1" t="n">
        <f aca="false">IF(AS49&gt;=Assumptions!$B$29,0,-PV(Assumptions!$B$5,Assumptions!$B$29-AS49,AR49))</f>
        <v>16458.7499999999</v>
      </c>
      <c r="AV49" s="1" t="n">
        <f aca="false">(-PV(Assumptions!$B$3,AT49,AR49))/POWER(1+Assumptions!$B$2,AH49)</f>
        <v>0</v>
      </c>
      <c r="AW49" s="1" t="n">
        <f aca="false">-PV(Assumptions!$B$2,AH49,T49+AI49)</f>
        <v>5318.41766002654</v>
      </c>
      <c r="AX49" s="1" t="n">
        <f aca="false">(-PV(Assumptions!$B$2,C49,S49))-(-PV(Assumptions!$B$2,AH49,S49))</f>
        <v>0</v>
      </c>
      <c r="AY49" s="1" t="n">
        <f aca="false">AJ49+AW49+AX49+(-PV(Assumptions!$B$2,C49,R49))+X49-(W49/POWER(1+Assumptions!$B$2,C49))</f>
        <v>4440.07250246623</v>
      </c>
      <c r="AZ49" s="1" t="n">
        <f aca="false">AY49+AV49+(AU49/POWER(1+Assumptions!$B$2,C49))</f>
        <v>18780.3251733662</v>
      </c>
      <c r="BA49" s="0" t="n">
        <f aca="false">AQ49/POWER(1+Assumptions!$B$2,AH49)</f>
        <v>14340.2526709</v>
      </c>
      <c r="BB49" s="1" t="n">
        <f aca="false">AY49+BA49</f>
        <v>18780.3251733662</v>
      </c>
      <c r="BC49" s="1" t="n">
        <f aca="false">AJ49+Assumptions!$B$28/POWER(1+Assumptions!$B$2,AH49)+(-PV(Assumptions!$B$2,AH49,R49+T49+AI49))</f>
        <v>21837.7150799702</v>
      </c>
      <c r="BD49" s="1" t="n">
        <f aca="false">MIN(Z49,AG49,AZ49)</f>
        <v>18780.3251733662</v>
      </c>
      <c r="BE49" s="0" t="str">
        <f aca="false">IF(BD49=Z49,"Cash",IF(BD49=AG49,"Loan","Lease then buy out"))</f>
        <v>Lease then buy out</v>
      </c>
    </row>
    <row r="50" customFormat="false" ht="15" hidden="false" customHeight="false" outlineLevel="0" collapsed="false">
      <c r="A50" s="0" t="s">
        <v>89</v>
      </c>
      <c r="B50" s="0" t="s">
        <v>109</v>
      </c>
      <c r="C50" s="0" t="n">
        <v>3</v>
      </c>
      <c r="D50" s="0" t="n">
        <v>0</v>
      </c>
      <c r="E50" s="0" t="n">
        <v>54400</v>
      </c>
      <c r="F50" s="0" t="n">
        <v>4999</v>
      </c>
      <c r="G50" s="0" t="n">
        <v>589</v>
      </c>
      <c r="H50" s="0" t="n">
        <v>36</v>
      </c>
      <c r="I50" s="0" t="n">
        <v>25</v>
      </c>
      <c r="J50" s="0" t="n">
        <v>14372</v>
      </c>
      <c r="K50" s="0" t="s">
        <v>107</v>
      </c>
      <c r="L50" s="0" t="n">
        <v>122.4</v>
      </c>
      <c r="M50" s="0" t="n">
        <f aca="false">MAX(Assumptions!$B$33,Assumptions!$B$30-Assumptions!$B$31*(H50-36)-IF(D50=1,Assumptions!$B$32,0))</f>
        <v>0.57</v>
      </c>
      <c r="N50" s="0" t="n">
        <f aca="false">E50*M50</f>
        <v>31008</v>
      </c>
      <c r="O50" s="0" t="n">
        <f aca="false">1-POWER(J50/E50,0.1)</f>
        <v>0.12462965300371</v>
      </c>
      <c r="P50" s="0" t="n">
        <f aca="false">E50*(1+Assumptions!$B$8)+Assumptions!$B$9</f>
        <v>57520</v>
      </c>
      <c r="Q50" s="0" t="n">
        <f aca="false">IF(D50=1,Assumptions!$B$14*33.7,Assumptions!$B$13)</f>
        <v>3.1</v>
      </c>
      <c r="R50" s="0" t="n">
        <f aca="false">(Assumptions!$B$10/I50)*Q50</f>
        <v>1240</v>
      </c>
      <c r="S50" s="0" t="n">
        <f aca="false">Assumptions!$B$15+Assumptions!$B$17</f>
        <v>1750</v>
      </c>
      <c r="T50" s="0" t="n">
        <f aca="false">Assumptions!$B$15*(1+Assumptions!$B$16)+Assumptions!$B$17</f>
        <v>1942</v>
      </c>
      <c r="U50" s="0" t="n">
        <f aca="false">IF(OR(C50&gt;Assumptions!$B$11,Assumptions!$B$10*C50&gt;Assumptions!$B$12),1,0)</f>
        <v>0</v>
      </c>
      <c r="V50" s="0" t="n">
        <f aca="false">MAX(0.6,1-Assumptions!$B$22*MAX(0,(Assumptions!$B$10-10000)*C50)/10000)</f>
        <v>1</v>
      </c>
      <c r="W50" s="0" t="n">
        <f aca="false">IF(U50=1,Assumptions!$B$23,MAX(Assumptions!$B$23,E50*POWER(1-O50,C50)*V50))</f>
        <v>36490.0444459547</v>
      </c>
      <c r="X50" s="0" t="n">
        <f aca="true">SUMPRODUCT((ROW(INDIRECT("1:"&amp;C50))&gt;Assumptions!$B$20)*Assumptions!$B$18*POWER(Assumptions!$B$19,ROW(INDIRECT("1:"&amp;C50))-Assumptions!$B$20-1)*IF(ROW(INDIRECT("1:"&amp;C50))&gt;Assumptions!$B$11,Assumptions!$B$21,1)/POWER(1+Assumptions!$B$2,ROW(INDIRECT("1:"&amp;C50))))</f>
        <v>0</v>
      </c>
      <c r="Y50" s="1" t="n">
        <f aca="false">-PV(Assumptions!$B$2,C50,R50+S50)+X50</f>
        <v>8188.50092867114</v>
      </c>
      <c r="Z50" s="1" t="n">
        <f aca="false">P50+Y50-(W50/POWER(1+Assumptions!$B$2,C50))</f>
        <v>33915.2932229</v>
      </c>
      <c r="AA50" s="0" t="n">
        <f aca="false">P50*Assumptions!$B$7</f>
        <v>5752</v>
      </c>
      <c r="AB50" s="0" t="n">
        <f aca="false">P50-AA50</f>
        <v>51768</v>
      </c>
      <c r="AC50" s="1" t="n">
        <f aca="false">PMT(Assumptions!$B$5,Assumptions!$B$6,-AB50)</f>
        <v>1024.82422132665</v>
      </c>
      <c r="AD50" s="0" t="n">
        <f aca="false">C50*12</f>
        <v>36</v>
      </c>
      <c r="AE50" s="0" t="n">
        <f aca="false">MIN(Assumptions!$B$6,AD50)</f>
        <v>36</v>
      </c>
      <c r="AF50" s="1" t="n">
        <f aca="false">IF(AD50&gt;=Assumptions!$B$6,0,-PV(Assumptions!$B$5,Assumptions!$B$6-AD50,AC50))</f>
        <v>22891.8685731304</v>
      </c>
      <c r="AG50" s="1" t="n">
        <f aca="false">AA50+(-PV(Assumptions!$B$3,AE50,AC50))+Y50-((W50-AF50)/POWER(1+Assumptions!$B$2,C50))</f>
        <v>36440.7530475883</v>
      </c>
      <c r="AH50" s="0" t="n">
        <f aca="false">H50/12</f>
        <v>3</v>
      </c>
      <c r="AI50" s="0" t="n">
        <f aca="false">MAX(0,Assumptions!$B$10-Assumptions!$B$24)*Assumptions!$B$25</f>
        <v>0</v>
      </c>
      <c r="AJ50" s="1" t="n">
        <f aca="false">F50+Assumptions!$B$27+(-PV(Assumptions!$B$3,H50-1,G50))</f>
        <v>24928.3132878378</v>
      </c>
      <c r="AK50" s="0" t="n">
        <f aca="false">CEILING(C50/AH50,1)</f>
        <v>1</v>
      </c>
      <c r="AL50" s="0" t="n">
        <f aca="false">(1+Assumptions!$B$26)/POWER(1+Assumptions!$B$2,AH50)</f>
        <v>0.906135810905202</v>
      </c>
      <c r="AM50" s="0" t="n">
        <f aca="false">IF(ABS(1-AL50)&lt;0.000000000001,AK50,(1-POWER(AL50,AK50))/(1-AL50))</f>
        <v>1</v>
      </c>
      <c r="AN50" s="0" t="n">
        <f aca="false">1/POWER(1+Assumptions!$B$2,AH50)</f>
        <v>0.871284433562695</v>
      </c>
      <c r="AO50" s="0" t="n">
        <f aca="false">IF(ABS(1-AN50)&lt;0.000000000001,AK50,AN50*(1-POWER(AN50,AK50))/(1-AN50))</f>
        <v>0.871284433562695</v>
      </c>
      <c r="AP50" s="1" t="n">
        <f aca="false">AJ50*AM50+Assumptions!$B$28*AO50+(-PV(Assumptions!$B$2,C50,R50+T50+AI50))</f>
        <v>33991.1447719758</v>
      </c>
      <c r="AQ50" s="0" t="n">
        <f aca="false">N50*(1+Assumptions!$B$8)</f>
        <v>32558.4</v>
      </c>
      <c r="AR50" s="1" t="n">
        <f aca="false">PMT(Assumptions!$B$5,Assumptions!$B$29,-AQ50)</f>
        <v>1005.16001515119</v>
      </c>
      <c r="AS50" s="0" t="n">
        <f aca="false">MAX(0,AD50-H50)</f>
        <v>0</v>
      </c>
      <c r="AT50" s="0" t="n">
        <f aca="false">MIN(Assumptions!$B$29,AS50)</f>
        <v>0</v>
      </c>
      <c r="AU50" s="1" t="n">
        <f aca="false">IF(AS50&gt;=Assumptions!$B$29,0,-PV(Assumptions!$B$5,Assumptions!$B$29-AS50,AR50))</f>
        <v>32558.3999999998</v>
      </c>
      <c r="AV50" s="1" t="n">
        <f aca="false">(-PV(Assumptions!$B$3,AT50,AR50))/POWER(1+Assumptions!$B$2,AH50)</f>
        <v>0</v>
      </c>
      <c r="AW50" s="1" t="n">
        <f aca="false">-PV(Assumptions!$B$2,AH50,T50+AI50)</f>
        <v>5318.41766002654</v>
      </c>
      <c r="AX50" s="1" t="n">
        <f aca="false">(-PV(Assumptions!$B$2,C50,S50))-(-PV(Assumptions!$B$2,AH50,S50))</f>
        <v>0</v>
      </c>
      <c r="AY50" s="1" t="n">
        <f aca="false">AJ50+AW50+AX50+(-PV(Assumptions!$B$2,C50,R50))+X50-(W50/POWER(1+Assumptions!$B$2,C50))</f>
        <v>1849.42329277953</v>
      </c>
      <c r="AZ50" s="1" t="n">
        <f aca="false">AY50+AV50+(AU50/POWER(1+Assumptions!$B$2,C50))</f>
        <v>30217.050394487</v>
      </c>
      <c r="BA50" s="0" t="n">
        <f aca="false">AQ50/POWER(1+Assumptions!$B$2,AH50)</f>
        <v>28367.6271017076</v>
      </c>
      <c r="BB50" s="1" t="n">
        <f aca="false">AY50+BA50</f>
        <v>30217.0503944872</v>
      </c>
      <c r="BC50" s="1" t="n">
        <f aca="false">AJ50+Assumptions!$B$28/POWER(1+Assumptions!$B$2,AH50)+(-PV(Assumptions!$B$2,AH50,R50+T50+AI50))</f>
        <v>33991.1447719758</v>
      </c>
      <c r="BD50" s="1" t="n">
        <f aca="false">MIN(Z50,AG50,AZ50)</f>
        <v>30217.050394487</v>
      </c>
      <c r="BE50" s="0" t="str">
        <f aca="false">IF(BD50=Z50,"Cash",IF(BD50=AG50,"Loan","Lease then buy out"))</f>
        <v>Lease then buy out</v>
      </c>
    </row>
    <row r="51" customFormat="false" ht="15" hidden="false" customHeight="false" outlineLevel="0" collapsed="false">
      <c r="A51" s="0" t="s">
        <v>80</v>
      </c>
      <c r="B51" s="0" t="s">
        <v>110</v>
      </c>
      <c r="C51" s="0" t="n">
        <v>3</v>
      </c>
      <c r="D51" s="0" t="n">
        <v>1</v>
      </c>
      <c r="E51" s="0" t="n">
        <v>52450</v>
      </c>
      <c r="F51" s="0" t="n">
        <v>4025</v>
      </c>
      <c r="G51" s="0" t="n">
        <v>595</v>
      </c>
      <c r="H51" s="0" t="n">
        <v>36</v>
      </c>
      <c r="I51" s="0" t="n">
        <v>106</v>
      </c>
      <c r="J51" s="0" t="n">
        <v>15641</v>
      </c>
      <c r="K51" s="0" t="s">
        <v>107</v>
      </c>
      <c r="L51" s="0" t="n">
        <v>150.5</v>
      </c>
      <c r="M51" s="0" t="n">
        <f aca="false">MAX(Assumptions!$B$33,Assumptions!$B$30-Assumptions!$B$31*(H51-36)-IF(D51=1,Assumptions!$B$32,0))</f>
        <v>0.49</v>
      </c>
      <c r="N51" s="0" t="n">
        <f aca="false">E51*M51</f>
        <v>25700.5</v>
      </c>
      <c r="O51" s="0" t="n">
        <f aca="false">1-POWER(J51/E51,0.1)</f>
        <v>0.113962909436698</v>
      </c>
      <c r="P51" s="0" t="n">
        <f aca="false">E51*(1+Assumptions!$B$8)+Assumptions!$B$9</f>
        <v>55472.5</v>
      </c>
      <c r="Q51" s="0" t="n">
        <f aca="false">IF(D51=1,Assumptions!$B$14*33.7,Assumptions!$B$13)</f>
        <v>5.729</v>
      </c>
      <c r="R51" s="0" t="n">
        <f aca="false">(Assumptions!$B$10/I51)*Q51</f>
        <v>540.471698113208</v>
      </c>
      <c r="S51" s="0" t="n">
        <f aca="false">Assumptions!$B$15+Assumptions!$B$17</f>
        <v>1750</v>
      </c>
      <c r="T51" s="0" t="n">
        <f aca="false">Assumptions!$B$15*(1+Assumptions!$B$16)+Assumptions!$B$17</f>
        <v>1942</v>
      </c>
      <c r="U51" s="0" t="n">
        <f aca="false">IF(OR(C51&gt;Assumptions!$B$11,Assumptions!$B$10*C51&gt;Assumptions!$B$12),1,0)</f>
        <v>0</v>
      </c>
      <c r="V51" s="0" t="n">
        <f aca="false">MAX(0.6,1-Assumptions!$B$22*MAX(0,(Assumptions!$B$10-10000)*C51)/10000)</f>
        <v>1</v>
      </c>
      <c r="W51" s="0" t="n">
        <f aca="false">IF(U51=1,Assumptions!$B$23,MAX(Assumptions!$B$23,E51*POWER(1-O51,C51)*V51))</f>
        <v>36483.8952027549</v>
      </c>
      <c r="X51" s="0" t="n">
        <f aca="true">SUMPRODUCT((ROW(INDIRECT("1:"&amp;C51))&gt;Assumptions!$B$20)*Assumptions!$B$18*POWER(Assumptions!$B$19,ROW(INDIRECT("1:"&amp;C51))-Assumptions!$B$20-1)*IF(ROW(INDIRECT("1:"&amp;C51))&gt;Assumptions!$B$11,Assumptions!$B$21,1)/POWER(1+Assumptions!$B$2,ROW(INDIRECT("1:"&amp;C51))))</f>
        <v>0</v>
      </c>
      <c r="Y51" s="1" t="n">
        <f aca="false">-PV(Assumptions!$B$2,C51,R51+S51)+X51</f>
        <v>6272.7523836438</v>
      </c>
      <c r="Z51" s="1" t="n">
        <f aca="false">P51+Y51-(W51/POWER(1+Assumptions!$B$2,C51))</f>
        <v>29957.4024177508</v>
      </c>
      <c r="AA51" s="0" t="n">
        <f aca="false">P51*Assumptions!$B$7</f>
        <v>5547.25</v>
      </c>
      <c r="AB51" s="0" t="n">
        <f aca="false">P51-AA51</f>
        <v>49925.25</v>
      </c>
      <c r="AC51" s="1" t="n">
        <f aca="false">PMT(Assumptions!$B$5,Assumptions!$B$6,-AB51)</f>
        <v>988.344256215975</v>
      </c>
      <c r="AD51" s="0" t="n">
        <f aca="false">C51*12</f>
        <v>36</v>
      </c>
      <c r="AE51" s="0" t="n">
        <f aca="false">MIN(Assumptions!$B$6,AD51)</f>
        <v>36</v>
      </c>
      <c r="AF51" s="1" t="n">
        <f aca="false">IF(AD51&gt;=Assumptions!$B$6,0,-PV(Assumptions!$B$5,Assumptions!$B$6-AD51,AC51))</f>
        <v>22077.0024239043</v>
      </c>
      <c r="AG51" s="1" t="n">
        <f aca="false">AA51+(-PV(Assumptions!$B$3,AE51,AC51))+Y51-((W51-AF51)/POWER(1+Assumptions!$B$2,C51))</f>
        <v>32392.9651807032</v>
      </c>
      <c r="AH51" s="0" t="n">
        <f aca="false">H51/12</f>
        <v>3</v>
      </c>
      <c r="AI51" s="0" t="n">
        <f aca="false">MAX(0,Assumptions!$B$10-Assumptions!$B$24)*Assumptions!$B$25</f>
        <v>0</v>
      </c>
      <c r="AJ51" s="1" t="n">
        <f aca="false">F51+Assumptions!$B$27+(-PV(Assumptions!$B$3,H51-1,G51))</f>
        <v>24150.1976337241</v>
      </c>
      <c r="AK51" s="0" t="n">
        <f aca="false">CEILING(C51/AH51,1)</f>
        <v>1</v>
      </c>
      <c r="AL51" s="0" t="n">
        <f aca="false">(1+Assumptions!$B$26)/POWER(1+Assumptions!$B$2,AH51)</f>
        <v>0.906135810905202</v>
      </c>
      <c r="AM51" s="0" t="n">
        <f aca="false">IF(ABS(1-AL51)&lt;0.000000000001,AK51,(1-POWER(AL51,AK51))/(1-AL51))</f>
        <v>1</v>
      </c>
      <c r="AN51" s="0" t="n">
        <f aca="false">1/POWER(1+Assumptions!$B$2,AH51)</f>
        <v>0.871284433562695</v>
      </c>
      <c r="AO51" s="0" t="n">
        <f aca="false">IF(ABS(1-AN51)&lt;0.000000000001,AK51,AN51*(1-POWER(AN51,AK51))/(1-AN51))</f>
        <v>0.871284433562695</v>
      </c>
      <c r="AP51" s="1" t="n">
        <f aca="false">AJ51*AM51+Assumptions!$B$28*AO51+(-PV(Assumptions!$B$2,C51,R51+T51+AI51))</f>
        <v>31297.2805728347</v>
      </c>
      <c r="AQ51" s="0" t="n">
        <f aca="false">N51*(1+Assumptions!$B$8)</f>
        <v>26985.525</v>
      </c>
      <c r="AR51" s="1" t="n">
        <f aca="false">PMT(Assumptions!$B$5,Assumptions!$B$29,-AQ51)</f>
        <v>833.111292872584</v>
      </c>
      <c r="AS51" s="0" t="n">
        <f aca="false">MAX(0,AD51-H51)</f>
        <v>0</v>
      </c>
      <c r="AT51" s="0" t="n">
        <f aca="false">MIN(Assumptions!$B$29,AS51)</f>
        <v>0</v>
      </c>
      <c r="AU51" s="1" t="n">
        <f aca="false">IF(AS51&gt;=Assumptions!$B$29,0,-PV(Assumptions!$B$5,Assumptions!$B$29-AS51,AR51))</f>
        <v>26985.5249999999</v>
      </c>
      <c r="AV51" s="1" t="n">
        <f aca="false">(-PV(Assumptions!$B$3,AT51,AR51))/POWER(1+Assumptions!$B$2,AH51)</f>
        <v>0</v>
      </c>
      <c r="AW51" s="1" t="n">
        <f aca="false">-PV(Assumptions!$B$2,AH51,T51+AI51)</f>
        <v>5318.41766002654</v>
      </c>
      <c r="AX51" s="1" t="n">
        <f aca="false">(-PV(Assumptions!$B$2,C51,S51))-(-PV(Assumptions!$B$2,AH51,S51))</f>
        <v>0</v>
      </c>
      <c r="AY51" s="1" t="n">
        <f aca="false">AJ51+AW51+AX51+(-PV(Assumptions!$B$2,C51,R51))+X51-(W51/POWER(1+Assumptions!$B$2,C51))</f>
        <v>-839.083166483382</v>
      </c>
      <c r="AZ51" s="1" t="n">
        <f aca="false">AY51+AV51+(AU51/POWER(1+Assumptions!$B$2,C51))</f>
        <v>22672.9846975334</v>
      </c>
      <c r="BA51" s="0" t="n">
        <f aca="false">AQ51/POWER(1+Assumptions!$B$2,AH51)</f>
        <v>23512.0678640169</v>
      </c>
      <c r="BB51" s="1" t="n">
        <f aca="false">AY51+BA51</f>
        <v>22672.9846975335</v>
      </c>
      <c r="BC51" s="1" t="n">
        <f aca="false">AJ51+Assumptions!$B$28/POWER(1+Assumptions!$B$2,AH51)+(-PV(Assumptions!$B$2,AH51,R51+T51+AI51))</f>
        <v>31297.2805728347</v>
      </c>
      <c r="BD51" s="1" t="n">
        <f aca="false">MIN(Z51,AG51,AZ51)</f>
        <v>22672.9846975334</v>
      </c>
      <c r="BE51" s="0" t="str">
        <f aca="false">IF(BD51=Z51,"Cash",IF(BD51=AG51,"Loan","Lease then buy out"))</f>
        <v>Lease then buy out</v>
      </c>
    </row>
    <row r="52" customFormat="false" ht="15" hidden="false" customHeight="false" outlineLevel="0" collapsed="false">
      <c r="A52" s="0" t="s">
        <v>103</v>
      </c>
      <c r="B52" s="0" t="s">
        <v>111</v>
      </c>
      <c r="C52" s="0" t="n">
        <v>3</v>
      </c>
      <c r="D52" s="0" t="n">
        <v>0</v>
      </c>
      <c r="E52" s="0" t="n">
        <v>27895</v>
      </c>
      <c r="F52" s="0" t="n">
        <v>3699</v>
      </c>
      <c r="G52" s="0" t="n">
        <v>279</v>
      </c>
      <c r="H52" s="0" t="n">
        <v>36</v>
      </c>
      <c r="I52" s="0" t="n">
        <v>32</v>
      </c>
      <c r="J52" s="0" t="n">
        <v>12230</v>
      </c>
      <c r="K52" s="0" t="s">
        <v>99</v>
      </c>
      <c r="L52" s="0" t="n">
        <v>125.9</v>
      </c>
      <c r="M52" s="0" t="n">
        <f aca="false">MAX(Assumptions!$B$33,Assumptions!$B$30-Assumptions!$B$31*(H52-36)-IF(D52=1,Assumptions!$B$32,0))</f>
        <v>0.57</v>
      </c>
      <c r="N52" s="0" t="n">
        <f aca="false">E52*M52</f>
        <v>15900.15</v>
      </c>
      <c r="O52" s="0" t="n">
        <f aca="false">1-POWER(J52/E52,0.1)</f>
        <v>0.0791476322331408</v>
      </c>
      <c r="P52" s="0" t="n">
        <f aca="false">E52*(1+Assumptions!$B$8)+Assumptions!$B$9</f>
        <v>29689.75</v>
      </c>
      <c r="Q52" s="0" t="n">
        <f aca="false">IF(D52=1,Assumptions!$B$14*33.7,Assumptions!$B$13)</f>
        <v>3.1</v>
      </c>
      <c r="R52" s="0" t="n">
        <f aca="false">(Assumptions!$B$10/I52)*Q52</f>
        <v>968.75</v>
      </c>
      <c r="S52" s="0" t="n">
        <f aca="false">Assumptions!$B$15+Assumptions!$B$17</f>
        <v>1750</v>
      </c>
      <c r="T52" s="0" t="n">
        <f aca="false">Assumptions!$B$15*(1+Assumptions!$B$16)+Assumptions!$B$17</f>
        <v>1942</v>
      </c>
      <c r="U52" s="0" t="n">
        <f aca="false">IF(OR(C52&gt;Assumptions!$B$11,Assumptions!$B$10*C52&gt;Assumptions!$B$12),1,0)</f>
        <v>0</v>
      </c>
      <c r="V52" s="0" t="n">
        <f aca="false">MAX(0.6,1-Assumptions!$B$22*MAX(0,(Assumptions!$B$10-10000)*C52)/10000)</f>
        <v>1</v>
      </c>
      <c r="W52" s="0" t="n">
        <f aca="false">IF(U52=1,Assumptions!$B$23,MAX(Assumptions!$B$23,E52*POWER(1-O52,C52)*V52))</f>
        <v>21781.9317606835</v>
      </c>
      <c r="X52" s="0" t="n">
        <f aca="true">SUMPRODUCT((ROW(INDIRECT("1:"&amp;C52))&gt;Assumptions!$B$20)*Assumptions!$B$18*POWER(Assumptions!$B$19,ROW(INDIRECT("1:"&amp;C52))-Assumptions!$B$20-1)*IF(ROW(INDIRECT("1:"&amp;C52))&gt;Assumptions!$B$11,Assumptions!$B$21,1)/POWER(1+Assumptions!$B$2,ROW(INDIRECT("1:"&amp;C52))))</f>
        <v>0</v>
      </c>
      <c r="Y52" s="1" t="n">
        <f aca="false">-PV(Assumptions!$B$2,C52,R52+S52)+X52</f>
        <v>7445.6477925835</v>
      </c>
      <c r="Z52" s="1" t="n">
        <f aca="false">P52+Y52-(W52/POWER(1+Assumptions!$B$2,C52))</f>
        <v>18157.1397165751</v>
      </c>
      <c r="AA52" s="0" t="n">
        <f aca="false">P52*Assumptions!$B$7</f>
        <v>2968.975</v>
      </c>
      <c r="AB52" s="0" t="n">
        <f aca="false">P52-AA52</f>
        <v>26720.775</v>
      </c>
      <c r="AC52" s="1" t="n">
        <f aca="false">PMT(Assumptions!$B$5,Assumptions!$B$6,-AB52)</f>
        <v>528.97731093764</v>
      </c>
      <c r="AD52" s="0" t="n">
        <f aca="false">C52*12</f>
        <v>36</v>
      </c>
      <c r="AE52" s="0" t="n">
        <f aca="false">MIN(Assumptions!$B$6,AD52)</f>
        <v>36</v>
      </c>
      <c r="AF52" s="1" t="n">
        <f aca="false">IF(AD52&gt;=Assumptions!$B$6,0,-PV(Assumptions!$B$5,Assumptions!$B$6-AD52,AC52))</f>
        <v>11815.9571448035</v>
      </c>
      <c r="AG52" s="1" t="n">
        <f aca="false">AA52+(-PV(Assumptions!$B$3,AE52,AC52))+Y52-((W52-AF52)/POWER(1+Assumptions!$B$2,C52))</f>
        <v>19460.6910175146</v>
      </c>
      <c r="AH52" s="0" t="n">
        <f aca="false">H52/12</f>
        <v>3</v>
      </c>
      <c r="AI52" s="0" t="n">
        <f aca="false">MAX(0,Assumptions!$B$10-Assumptions!$B$24)*Assumptions!$B$25</f>
        <v>0</v>
      </c>
      <c r="AJ52" s="1" t="n">
        <f aca="false">F52+Assumptions!$B$27+(-PV(Assumptions!$B$3,H52-1,G52))</f>
        <v>13507.6220837126</v>
      </c>
      <c r="AK52" s="0" t="n">
        <f aca="false">CEILING(C52/AH52,1)</f>
        <v>1</v>
      </c>
      <c r="AL52" s="0" t="n">
        <f aca="false">(1+Assumptions!$B$26)/POWER(1+Assumptions!$B$2,AH52)</f>
        <v>0.906135810905202</v>
      </c>
      <c r="AM52" s="0" t="n">
        <f aca="false">IF(ABS(1-AL52)&lt;0.000000000001,AK52,(1-POWER(AL52,AK52))/(1-AL52))</f>
        <v>1</v>
      </c>
      <c r="AN52" s="0" t="n">
        <f aca="false">1/POWER(1+Assumptions!$B$2,AH52)</f>
        <v>0.871284433562695</v>
      </c>
      <c r="AO52" s="0" t="n">
        <f aca="false">IF(ABS(1-AN52)&lt;0.000000000001,AK52,AN52*(1-POWER(AN52,AK52))/(1-AN52))</f>
        <v>0.871284433562695</v>
      </c>
      <c r="AP52" s="1" t="n">
        <f aca="false">AJ52*AM52+Assumptions!$B$28*AO52+(-PV(Assumptions!$B$2,C52,R52+T52+AI52))</f>
        <v>21827.600431763</v>
      </c>
      <c r="AQ52" s="0" t="n">
        <f aca="false">N52*(1+Assumptions!$B$8)</f>
        <v>16695.1575</v>
      </c>
      <c r="AR52" s="1" t="n">
        <f aca="false">PMT(Assumptions!$B$5,Assumptions!$B$29,-AQ52)</f>
        <v>515.421665857396</v>
      </c>
      <c r="AS52" s="0" t="n">
        <f aca="false">MAX(0,AD52-H52)</f>
        <v>0</v>
      </c>
      <c r="AT52" s="0" t="n">
        <f aca="false">MIN(Assumptions!$B$29,AS52)</f>
        <v>0</v>
      </c>
      <c r="AU52" s="1" t="n">
        <f aca="false">IF(AS52&gt;=Assumptions!$B$29,0,-PV(Assumptions!$B$5,Assumptions!$B$29-AS52,AR52))</f>
        <v>16695.1574999999</v>
      </c>
      <c r="AV52" s="1" t="n">
        <f aca="false">(-PV(Assumptions!$B$3,AT52,AR52))/POWER(1+Assumptions!$B$2,AH52)</f>
        <v>0</v>
      </c>
      <c r="AW52" s="1" t="n">
        <f aca="false">-PV(Assumptions!$B$2,AH52,T52+AI52)</f>
        <v>5318.41766002654</v>
      </c>
      <c r="AX52" s="1" t="n">
        <f aca="false">(-PV(Assumptions!$B$2,C52,S52))-(-PV(Assumptions!$B$2,AH52,S52))</f>
        <v>0</v>
      </c>
      <c r="AY52" s="1" t="n">
        <f aca="false">AJ52+AW52+AX52+(-PV(Assumptions!$B$2,C52,R52))+X52-(W52/POWER(1+Assumptions!$B$2,C52))</f>
        <v>2500.82858232954</v>
      </c>
      <c r="AZ52" s="1" t="n">
        <f aca="false">AY52+AV52+(AU52/POWER(1+Assumptions!$B$2,C52))</f>
        <v>17047.0594279569</v>
      </c>
      <c r="BA52" s="0" t="n">
        <f aca="false">AQ52/POWER(1+Assumptions!$B$2,AH52)</f>
        <v>14546.2308456275</v>
      </c>
      <c r="BB52" s="1" t="n">
        <f aca="false">AY52+BA52</f>
        <v>17047.059427957</v>
      </c>
      <c r="BC52" s="1" t="n">
        <f aca="false">AJ52+Assumptions!$B$28/POWER(1+Assumptions!$B$2,AH52)+(-PV(Assumptions!$B$2,AH52,R52+T52+AI52))</f>
        <v>21827.600431763</v>
      </c>
      <c r="BD52" s="1" t="n">
        <f aca="false">MIN(Z52,AG52,AZ52)</f>
        <v>17047.0594279569</v>
      </c>
      <c r="BE52" s="0" t="str">
        <f aca="false">IF(BD52=Z52,"Cash",IF(BD52=AG52,"Loan","Lease then buy out"))</f>
        <v>Lease then buy out</v>
      </c>
    </row>
    <row r="53" customFormat="false" ht="15" hidden="false" customHeight="false" outlineLevel="0" collapsed="false">
      <c r="A53" s="0" t="s">
        <v>103</v>
      </c>
      <c r="B53" s="0" t="s">
        <v>112</v>
      </c>
      <c r="C53" s="0" t="n">
        <v>3</v>
      </c>
      <c r="D53" s="0" t="n">
        <v>0</v>
      </c>
      <c r="E53" s="0" t="n">
        <v>34050</v>
      </c>
      <c r="F53" s="0" t="n">
        <v>3899</v>
      </c>
      <c r="G53" s="0" t="n">
        <v>369</v>
      </c>
      <c r="H53" s="0" t="n">
        <v>36</v>
      </c>
      <c r="I53" s="0" t="n">
        <v>38</v>
      </c>
      <c r="J53" s="0" t="n">
        <v>16015</v>
      </c>
      <c r="K53" s="0" t="s">
        <v>99</v>
      </c>
      <c r="L53" s="0" t="n">
        <v>176.5</v>
      </c>
      <c r="M53" s="0" t="n">
        <f aca="false">MAX(Assumptions!$B$33,Assumptions!$B$30-Assumptions!$B$31*(H53-36)-IF(D53=1,Assumptions!$B$32,0))</f>
        <v>0.57</v>
      </c>
      <c r="N53" s="0" t="n">
        <f aca="false">E53*M53</f>
        <v>19408.5</v>
      </c>
      <c r="O53" s="0" t="n">
        <f aca="false">1-POWER(J53/E53,0.1)</f>
        <v>0.0726557516911875</v>
      </c>
      <c r="P53" s="0" t="n">
        <f aca="false">E53*(1+Assumptions!$B$8)+Assumptions!$B$9</f>
        <v>36152.5</v>
      </c>
      <c r="Q53" s="0" t="n">
        <f aca="false">IF(D53=1,Assumptions!$B$14*33.7,Assumptions!$B$13)</f>
        <v>3.1</v>
      </c>
      <c r="R53" s="0" t="n">
        <f aca="false">(Assumptions!$B$10/I53)*Q53</f>
        <v>815.789473684211</v>
      </c>
      <c r="S53" s="0" t="n">
        <f aca="false">Assumptions!$B$15+Assumptions!$B$17</f>
        <v>1750</v>
      </c>
      <c r="T53" s="0" t="n">
        <f aca="false">Assumptions!$B$15*(1+Assumptions!$B$16)+Assumptions!$B$17</f>
        <v>1942</v>
      </c>
      <c r="U53" s="0" t="n">
        <f aca="false">IF(OR(C53&gt;Assumptions!$B$11,Assumptions!$B$10*C53&gt;Assumptions!$B$12),1,0)</f>
        <v>0</v>
      </c>
      <c r="V53" s="0" t="n">
        <f aca="false">MAX(0.6,1-Assumptions!$B$22*MAX(0,(Assumptions!$B$10-10000)*C53)/10000)</f>
        <v>1</v>
      </c>
      <c r="W53" s="0" t="n">
        <f aca="false">IF(U53=1,Assumptions!$B$23,MAX(Assumptions!$B$23,E53*POWER(1-O53,C53)*V53))</f>
        <v>27154.3908183083</v>
      </c>
      <c r="X53" s="0" t="n">
        <f aca="true">SUMPRODUCT((ROW(INDIRECT("1:"&amp;C53))&gt;Assumptions!$B$20)*Assumptions!$B$18*POWER(Assumptions!$B$19,ROW(INDIRECT("1:"&amp;C53))-Assumptions!$B$20-1)*IF(ROW(INDIRECT("1:"&amp;C53))&gt;Assumptions!$B$11,Assumptions!$B$21,1)/POWER(1+Assumptions!$B$2,ROW(INDIRECT("1:"&amp;C53))))</f>
        <v>0</v>
      </c>
      <c r="Y53" s="1" t="n">
        <f aca="false">-PV(Assumptions!$B$2,C53,R53+S53)+X53</f>
        <v>7026.74564817317</v>
      </c>
      <c r="Z53" s="1" t="n">
        <f aca="false">P53+Y53-(W53/POWER(1+Assumptions!$B$2,C53))</f>
        <v>19520.0476253034</v>
      </c>
      <c r="AA53" s="0" t="n">
        <f aca="false">P53*Assumptions!$B$7</f>
        <v>3615.25</v>
      </c>
      <c r="AB53" s="0" t="n">
        <f aca="false">P53-AA53</f>
        <v>32537.25</v>
      </c>
      <c r="AC53" s="1" t="n">
        <f aca="false">PMT(Assumptions!$B$5,Assumptions!$B$6,-AB53)</f>
        <v>644.123046966479</v>
      </c>
      <c r="AD53" s="0" t="n">
        <f aca="false">C53*12</f>
        <v>36</v>
      </c>
      <c r="AE53" s="0" t="n">
        <f aca="false">MIN(Assumptions!$B$6,AD53)</f>
        <v>36</v>
      </c>
      <c r="AF53" s="1" t="n">
        <f aca="false">IF(AD53&gt;=Assumptions!$B$6,0,-PV(Assumptions!$B$5,Assumptions!$B$6-AD53,AC53))</f>
        <v>14388.0090158223</v>
      </c>
      <c r="AG53" s="1" t="n">
        <f aca="false">AA53+(-PV(Assumptions!$B$3,AE53,AC53))+Y53-((W53-AF53)/POWER(1+Assumptions!$B$2,C53))</f>
        <v>21107.3509339273</v>
      </c>
      <c r="AH53" s="0" t="n">
        <f aca="false">H53/12</f>
        <v>3</v>
      </c>
      <c r="AI53" s="0" t="n">
        <f aca="false">MAX(0,Assumptions!$B$10-Assumptions!$B$24)*Assumptions!$B$25</f>
        <v>0</v>
      </c>
      <c r="AJ53" s="1" t="n">
        <f aca="false">F53+Assumptions!$B$27+(-PV(Assumptions!$B$3,H53-1,G53))</f>
        <v>16645.887272007</v>
      </c>
      <c r="AK53" s="0" t="n">
        <f aca="false">CEILING(C53/AH53,1)</f>
        <v>1</v>
      </c>
      <c r="AL53" s="0" t="n">
        <f aca="false">(1+Assumptions!$B$26)/POWER(1+Assumptions!$B$2,AH53)</f>
        <v>0.906135810905202</v>
      </c>
      <c r="AM53" s="0" t="n">
        <f aca="false">IF(ABS(1-AL53)&lt;0.000000000001,AK53,(1-POWER(AL53,AK53))/(1-AL53))</f>
        <v>1</v>
      </c>
      <c r="AN53" s="0" t="n">
        <f aca="false">1/POWER(1+Assumptions!$B$2,AH53)</f>
        <v>0.871284433562695</v>
      </c>
      <c r="AO53" s="0" t="n">
        <f aca="false">IF(ABS(1-AN53)&lt;0.000000000001,AK53,AN53*(1-POWER(AN53,AK53))/(1-AN53))</f>
        <v>0.871284433562695</v>
      </c>
      <c r="AP53" s="1" t="n">
        <f aca="false">AJ53*AM53+Assumptions!$B$28*AO53+(-PV(Assumptions!$B$2,C53,R53+T53+AI53))</f>
        <v>24546.963475647</v>
      </c>
      <c r="AQ53" s="0" t="n">
        <f aca="false">N53*(1+Assumptions!$B$8)</f>
        <v>20378.925</v>
      </c>
      <c r="AR53" s="1" t="n">
        <f aca="false">PMT(Assumptions!$B$5,Assumptions!$B$29,-AQ53)</f>
        <v>629.148869777535</v>
      </c>
      <c r="AS53" s="0" t="n">
        <f aca="false">MAX(0,AD53-H53)</f>
        <v>0</v>
      </c>
      <c r="AT53" s="0" t="n">
        <f aca="false">MIN(Assumptions!$B$29,AS53)</f>
        <v>0</v>
      </c>
      <c r="AU53" s="1" t="n">
        <f aca="false">IF(AS53&gt;=Assumptions!$B$29,0,-PV(Assumptions!$B$5,Assumptions!$B$29-AS53,AR53))</f>
        <v>20378.9249999999</v>
      </c>
      <c r="AV53" s="1" t="n">
        <f aca="false">(-PV(Assumptions!$B$3,AT53,AR53))/POWER(1+Assumptions!$B$2,AH53)</f>
        <v>0</v>
      </c>
      <c r="AW53" s="1" t="n">
        <f aca="false">-PV(Assumptions!$B$2,AH53,T53+AI53)</f>
        <v>5318.41766002654</v>
      </c>
      <c r="AX53" s="1" t="n">
        <f aca="false">(-PV(Assumptions!$B$2,C53,S53))-(-PV(Assumptions!$B$2,AH53,S53))</f>
        <v>0</v>
      </c>
      <c r="AY53" s="1" t="n">
        <f aca="false">AJ53+AW53+AX53+(-PV(Assumptions!$B$2,C53,R53))+X53-(W53/POWER(1+Assumptions!$B$2,C53))</f>
        <v>539.251679352237</v>
      </c>
      <c r="AZ53" s="1" t="n">
        <f aca="false">AY53+AV53+(AU53/POWER(1+Assumptions!$B$2,C53))</f>
        <v>18295.0918045938</v>
      </c>
      <c r="BA53" s="0" t="n">
        <f aca="false">AQ53/POWER(1+Assumptions!$B$2,AH53)</f>
        <v>17755.8401252416</v>
      </c>
      <c r="BB53" s="1" t="n">
        <f aca="false">AY53+BA53</f>
        <v>18295.0918045939</v>
      </c>
      <c r="BC53" s="1" t="n">
        <f aca="false">AJ53+Assumptions!$B$28/POWER(1+Assumptions!$B$2,AH53)+(-PV(Assumptions!$B$2,AH53,R53+T53+AI53))</f>
        <v>24546.963475647</v>
      </c>
      <c r="BD53" s="1" t="n">
        <f aca="false">MIN(Z53,AG53,AZ53)</f>
        <v>18295.0918045938</v>
      </c>
      <c r="BE53" s="0" t="str">
        <f aca="false">IF(BD53=Z53,"Cash",IF(BD53=AG53,"Loan","Lease then buy out"))</f>
        <v>Lease then buy out</v>
      </c>
    </row>
    <row r="54" customFormat="false" ht="15" hidden="false" customHeight="false" outlineLevel="0" collapsed="false">
      <c r="A54" s="0" t="s">
        <v>43</v>
      </c>
      <c r="B54" s="0" t="s">
        <v>113</v>
      </c>
      <c r="C54" s="0" t="n">
        <v>3</v>
      </c>
      <c r="D54" s="0" t="n">
        <v>0</v>
      </c>
      <c r="E54" s="0" t="n">
        <v>37858</v>
      </c>
      <c r="F54" s="0" t="n">
        <v>2956</v>
      </c>
      <c r="G54" s="0" t="n">
        <v>456</v>
      </c>
      <c r="H54" s="0" t="n">
        <v>36</v>
      </c>
      <c r="I54" s="0" t="n">
        <v>37</v>
      </c>
      <c r="J54" s="0" t="n">
        <v>11019</v>
      </c>
      <c r="K54" s="0" t="s">
        <v>99</v>
      </c>
      <c r="L54" s="0" t="n">
        <v>175.5</v>
      </c>
      <c r="M54" s="0" t="n">
        <f aca="false">MAX(Assumptions!$B$33,Assumptions!$B$30-Assumptions!$B$31*(H54-36)-IF(D54=1,Assumptions!$B$32,0))</f>
        <v>0.57</v>
      </c>
      <c r="N54" s="0" t="n">
        <f aca="false">E54*M54</f>
        <v>21579.06</v>
      </c>
      <c r="O54" s="0" t="n">
        <f aca="false">1-POWER(J54/E54,0.1)</f>
        <v>0.116109529586196</v>
      </c>
      <c r="P54" s="0" t="n">
        <f aca="false">E54*(1+Assumptions!$B$8)+Assumptions!$B$9</f>
        <v>40150.9</v>
      </c>
      <c r="Q54" s="0" t="n">
        <f aca="false">IF(D54=1,Assumptions!$B$14*33.7,Assumptions!$B$13)</f>
        <v>3.1</v>
      </c>
      <c r="R54" s="0" t="n">
        <f aca="false">(Assumptions!$B$10/I54)*Q54</f>
        <v>837.837837837838</v>
      </c>
      <c r="S54" s="0" t="n">
        <f aca="false">Assumptions!$B$15+Assumptions!$B$17</f>
        <v>1750</v>
      </c>
      <c r="T54" s="0" t="n">
        <f aca="false">Assumptions!$B$15*(1+Assumptions!$B$16)+Assumptions!$B$17</f>
        <v>1942</v>
      </c>
      <c r="U54" s="0" t="n">
        <f aca="false">IF(OR(C54&gt;Assumptions!$B$11,Assumptions!$B$10*C54&gt;Assumptions!$B$12),1,0)</f>
        <v>0</v>
      </c>
      <c r="V54" s="0" t="n">
        <f aca="false">MAX(0.6,1-Assumptions!$B$22*MAX(0,(Assumptions!$B$10-10000)*C54)/10000)</f>
        <v>1</v>
      </c>
      <c r="W54" s="0" t="n">
        <f aca="false">IF(U54=1,Assumptions!$B$23,MAX(Assumptions!$B$23,E54*POWER(1-O54,C54)*V54))</f>
        <v>26142.8554591109</v>
      </c>
      <c r="X54" s="0" t="n">
        <f aca="true">SUMPRODUCT((ROW(INDIRECT("1:"&amp;C54))&gt;Assumptions!$B$20)*Assumptions!$B$18*POWER(Assumptions!$B$19,ROW(INDIRECT("1:"&amp;C54))-Assumptions!$B$20-1)*IF(ROW(INDIRECT("1:"&amp;C54))&gt;Assumptions!$B$11,Assumptions!$B$21,1)/POWER(1+Assumptions!$B$2,ROW(INDIRECT("1:"&amp;C54))))</f>
        <v>0</v>
      </c>
      <c r="Y54" s="1" t="n">
        <f aca="false">-PV(Assumptions!$B$2,C54,R54+S54)+X54</f>
        <v>7087.12793925935</v>
      </c>
      <c r="Z54" s="1" t="n">
        <f aca="false">P54+Y54-(W54/POWER(1+Assumptions!$B$2,C54))</f>
        <v>24460.1649288565</v>
      </c>
      <c r="AA54" s="0" t="n">
        <f aca="false">P54*Assumptions!$B$7</f>
        <v>4015.09</v>
      </c>
      <c r="AB54" s="0" t="n">
        <f aca="false">P54-AA54</f>
        <v>36135.81</v>
      </c>
      <c r="AC54" s="1" t="n">
        <f aca="false">PMT(Assumptions!$B$5,Assumptions!$B$6,-AB54)</f>
        <v>715.361871141592</v>
      </c>
      <c r="AD54" s="0" t="n">
        <f aca="false">C54*12</f>
        <v>36</v>
      </c>
      <c r="AE54" s="0" t="n">
        <f aca="false">MIN(Assumptions!$B$6,AD54)</f>
        <v>36</v>
      </c>
      <c r="AF54" s="1" t="n">
        <f aca="false">IF(AD54&gt;=Assumptions!$B$6,0,-PV(Assumptions!$B$5,Assumptions!$B$6-AD54,AC54))</f>
        <v>15979.2963472341</v>
      </c>
      <c r="AG54" s="1" t="n">
        <f aca="false">AA54+(-PV(Assumptions!$B$3,AE54,AC54))+Y54-((W54-AF54)/POWER(1+Assumptions!$B$2,C54))</f>
        <v>26223.0210636805</v>
      </c>
      <c r="AH54" s="0" t="n">
        <f aca="false">H54/12</f>
        <v>3</v>
      </c>
      <c r="AI54" s="0" t="n">
        <f aca="false">MAX(0,Assumptions!$B$10-Assumptions!$B$24)*Assumptions!$B$25</f>
        <v>0</v>
      </c>
      <c r="AJ54" s="1" t="n">
        <f aca="false">F54+Assumptions!$B$27+(-PV(Assumptions!$B$3,H54-1,G54))</f>
        <v>18543.2102873583</v>
      </c>
      <c r="AK54" s="0" t="n">
        <f aca="false">CEILING(C54/AH54,1)</f>
        <v>1</v>
      </c>
      <c r="AL54" s="0" t="n">
        <f aca="false">(1+Assumptions!$B$26)/POWER(1+Assumptions!$B$2,AH54)</f>
        <v>0.906135810905202</v>
      </c>
      <c r="AM54" s="0" t="n">
        <f aca="false">IF(ABS(1-AL54)&lt;0.000000000001,AK54,(1-POWER(AL54,AK54))/(1-AL54))</f>
        <v>1</v>
      </c>
      <c r="AN54" s="0" t="n">
        <f aca="false">1/POWER(1+Assumptions!$B$2,AH54)</f>
        <v>0.871284433562695</v>
      </c>
      <c r="AO54" s="0" t="n">
        <f aca="false">IF(ABS(1-AN54)&lt;0.000000000001,AK54,AN54*(1-POWER(AN54,AK54))/(1-AN54))</f>
        <v>0.871284433562695</v>
      </c>
      <c r="AP54" s="1" t="n">
        <f aca="false">AJ54*AM54+Assumptions!$B$28*AO54+(-PV(Assumptions!$B$2,C54,R54+T54+AI54))</f>
        <v>26504.6687820845</v>
      </c>
      <c r="AQ54" s="0" t="n">
        <f aca="false">N54*(1+Assumptions!$B$8)</f>
        <v>22658.013</v>
      </c>
      <c r="AR54" s="1" t="n">
        <f aca="false">PMT(Assumptions!$B$5,Assumptions!$B$29,-AQ54)</f>
        <v>699.510070838118</v>
      </c>
      <c r="AS54" s="0" t="n">
        <f aca="false">MAX(0,AD54-H54)</f>
        <v>0</v>
      </c>
      <c r="AT54" s="0" t="n">
        <f aca="false">MIN(Assumptions!$B$29,AS54)</f>
        <v>0</v>
      </c>
      <c r="AU54" s="1" t="n">
        <f aca="false">IF(AS54&gt;=Assumptions!$B$29,0,-PV(Assumptions!$B$5,Assumptions!$B$29-AS54,AR54))</f>
        <v>22658.0129999999</v>
      </c>
      <c r="AV54" s="1" t="n">
        <f aca="false">(-PV(Assumptions!$B$3,AT54,AR54))/POWER(1+Assumptions!$B$2,AH54)</f>
        <v>0</v>
      </c>
      <c r="AW54" s="1" t="n">
        <f aca="false">-PV(Assumptions!$B$2,AH54,T54+AI54)</f>
        <v>5318.41766002654</v>
      </c>
      <c r="AX54" s="1" t="n">
        <f aca="false">(-PV(Assumptions!$B$2,C54,S54))-(-PV(Assumptions!$B$2,AH54,S54))</f>
        <v>0</v>
      </c>
      <c r="AY54" s="1" t="n">
        <f aca="false">AJ54+AW54+AX54+(-PV(Assumptions!$B$2,C54,R54))+X54-(W54/POWER(1+Assumptions!$B$2,C54))</f>
        <v>3378.29199825656</v>
      </c>
      <c r="AZ54" s="1" t="n">
        <f aca="false">AY54+AV54+(AU54/POWER(1+Assumptions!$B$2,C54))</f>
        <v>23119.8660206176</v>
      </c>
      <c r="BA54" s="0" t="n">
        <f aca="false">AQ54/POWER(1+Assumptions!$B$2,AH54)</f>
        <v>19741.5740223612</v>
      </c>
      <c r="BB54" s="1" t="n">
        <f aca="false">AY54+BA54</f>
        <v>23119.8660206177</v>
      </c>
      <c r="BC54" s="1" t="n">
        <f aca="false">AJ54+Assumptions!$B$28/POWER(1+Assumptions!$B$2,AH54)+(-PV(Assumptions!$B$2,AH54,R54+T54+AI54))</f>
        <v>26504.6687820845</v>
      </c>
      <c r="BD54" s="1" t="n">
        <f aca="false">MIN(Z54,AG54,AZ54)</f>
        <v>23119.8660206176</v>
      </c>
      <c r="BE54" s="0" t="str">
        <f aca="false">IF(BD54=Z54,"Cash",IF(BD54=AG54,"Loan","Lease then buy out"))</f>
        <v>Lease then buy out</v>
      </c>
    </row>
    <row r="55" customFormat="false" ht="15" hidden="false" customHeight="false" outlineLevel="0" collapsed="false">
      <c r="A55" s="0" t="s">
        <v>48</v>
      </c>
      <c r="B55" s="0" t="s">
        <v>114</v>
      </c>
      <c r="C55" s="0" t="n">
        <v>3</v>
      </c>
      <c r="D55" s="0" t="n">
        <v>0</v>
      </c>
      <c r="E55" s="0" t="n">
        <v>41775</v>
      </c>
      <c r="F55" s="0" t="n">
        <v>3067</v>
      </c>
      <c r="G55" s="0" t="n">
        <v>567</v>
      </c>
      <c r="H55" s="0" t="n">
        <v>36</v>
      </c>
      <c r="I55" s="0" t="n">
        <v>21</v>
      </c>
      <c r="J55" s="0" t="n">
        <v>11970</v>
      </c>
      <c r="K55" s="0" t="s">
        <v>99</v>
      </c>
      <c r="L55" s="0" t="n">
        <v>176.5</v>
      </c>
      <c r="M55" s="0" t="n">
        <f aca="false">MAX(Assumptions!$B$33,Assumptions!$B$30-Assumptions!$B$31*(H55-36)-IF(D55=1,Assumptions!$B$32,0))</f>
        <v>0.57</v>
      </c>
      <c r="N55" s="0" t="n">
        <f aca="false">E55*M55</f>
        <v>23811.75</v>
      </c>
      <c r="O55" s="0" t="n">
        <f aca="false">1-POWER(J55/E55,0.1)</f>
        <v>0.117493791869951</v>
      </c>
      <c r="P55" s="0" t="n">
        <f aca="false">E55*(1+Assumptions!$B$8)+Assumptions!$B$9</f>
        <v>44263.75</v>
      </c>
      <c r="Q55" s="0" t="n">
        <f aca="false">IF(D55=1,Assumptions!$B$14*33.7,Assumptions!$B$13)</f>
        <v>3.1</v>
      </c>
      <c r="R55" s="0" t="n">
        <f aca="false">(Assumptions!$B$10/I55)*Q55</f>
        <v>1476.19047619048</v>
      </c>
      <c r="S55" s="0" t="n">
        <f aca="false">Assumptions!$B$15+Assumptions!$B$17</f>
        <v>1750</v>
      </c>
      <c r="T55" s="0" t="n">
        <f aca="false">Assumptions!$B$15*(1+Assumptions!$B$16)+Assumptions!$B$17</f>
        <v>1942</v>
      </c>
      <c r="U55" s="0" t="n">
        <f aca="false">IF(OR(C55&gt;Assumptions!$B$11,Assumptions!$B$10*C55&gt;Assumptions!$B$12),1,0)</f>
        <v>0</v>
      </c>
      <c r="V55" s="0" t="n">
        <f aca="false">MAX(0.6,1-Assumptions!$B$22*MAX(0,(Assumptions!$B$10-10000)*C55)/10000)</f>
        <v>1</v>
      </c>
      <c r="W55" s="0" t="n">
        <f aca="false">IF(U55=1,Assumptions!$B$23,MAX(Assumptions!$B$23,E55*POWER(1-O55,C55)*V55))</f>
        <v>28712.4178821598</v>
      </c>
      <c r="X55" s="0" t="n">
        <f aca="true">SUMPRODUCT((ROW(INDIRECT("1:"&amp;C55))&gt;Assumptions!$B$20)*Assumptions!$B$18*POWER(Assumptions!$B$19,ROW(INDIRECT("1:"&amp;C55))-Assumptions!$B$20-1)*IF(ROW(INDIRECT("1:"&amp;C55))&gt;Assumptions!$B$11,Assumptions!$B$21,1)/POWER(1+Assumptions!$B$2,ROW(INDIRECT("1:"&amp;C55))))</f>
        <v>0</v>
      </c>
      <c r="Y55" s="1" t="n">
        <f aca="false">-PV(Assumptions!$B$2,C55,R55+S55)+X55</f>
        <v>8835.33903356378</v>
      </c>
      <c r="Z55" s="1" t="n">
        <f aca="false">P55+Y55-(W55/POWER(1+Assumptions!$B$2,C55))</f>
        <v>28082.4062828908</v>
      </c>
      <c r="AA55" s="0" t="n">
        <f aca="false">P55*Assumptions!$B$7</f>
        <v>4426.375</v>
      </c>
      <c r="AB55" s="0" t="n">
        <f aca="false">P55-AA55</f>
        <v>39837.375</v>
      </c>
      <c r="AC55" s="1" t="n">
        <f aca="false">PMT(Assumptions!$B$5,Assumptions!$B$6,-AB55)</f>
        <v>788.63983182802</v>
      </c>
      <c r="AD55" s="0" t="n">
        <f aca="false">C55*12</f>
        <v>36</v>
      </c>
      <c r="AE55" s="0" t="n">
        <f aca="false">MIN(Assumptions!$B$6,AD55)</f>
        <v>36</v>
      </c>
      <c r="AF55" s="1" t="n">
        <f aca="false">IF(AD55&gt;=Assumptions!$B$6,0,-PV(Assumptions!$B$5,Assumptions!$B$6-AD55,AC55))</f>
        <v>17616.1326069872</v>
      </c>
      <c r="AG55" s="1" t="n">
        <f aca="false">AA55+(-PV(Assumptions!$B$3,AE55,AC55))+Y55-((W55-AF55)/POWER(1+Assumptions!$B$2,C55))</f>
        <v>30025.8402591608</v>
      </c>
      <c r="AH55" s="0" t="n">
        <f aca="false">H55/12</f>
        <v>3</v>
      </c>
      <c r="AI55" s="0" t="n">
        <f aca="false">MAX(0,Assumptions!$B$10-Assumptions!$B$24)*Assumptions!$B$25</f>
        <v>0</v>
      </c>
      <c r="AJ55" s="1" t="n">
        <f aca="false">F55+Assumptions!$B$27+(-PV(Assumptions!$B$3,H55-1,G55))</f>
        <v>22278.0706862547</v>
      </c>
      <c r="AK55" s="0" t="n">
        <f aca="false">CEILING(C55/AH55,1)</f>
        <v>1</v>
      </c>
      <c r="AL55" s="0" t="n">
        <f aca="false">(1+Assumptions!$B$26)/POWER(1+Assumptions!$B$2,AH55)</f>
        <v>0.906135810905202</v>
      </c>
      <c r="AM55" s="0" t="n">
        <f aca="false">IF(ABS(1-AL55)&lt;0.000000000001,AK55,(1-POWER(AL55,AK55))/(1-AL55))</f>
        <v>1</v>
      </c>
      <c r="AN55" s="0" t="n">
        <f aca="false">1/POWER(1+Assumptions!$B$2,AH55)</f>
        <v>0.871284433562695</v>
      </c>
      <c r="AO55" s="0" t="n">
        <f aca="false">IF(ABS(1-AN55)&lt;0.000000000001,AK55,AN55*(1-POWER(AN55,AK55))/(1-AN55))</f>
        <v>0.871284433562695</v>
      </c>
      <c r="AP55" s="1" t="n">
        <f aca="false">AJ55*AM55+Assumptions!$B$28*AO55+(-PV(Assumptions!$B$2,C55,R55+T55+AI55))</f>
        <v>31987.7402752853</v>
      </c>
      <c r="AQ55" s="0" t="n">
        <f aca="false">N55*(1+Assumptions!$B$8)</f>
        <v>25002.3375</v>
      </c>
      <c r="AR55" s="1" t="n">
        <f aca="false">PMT(Assumptions!$B$5,Assumptions!$B$29,-AQ55)</f>
        <v>771.885287370236</v>
      </c>
      <c r="AS55" s="0" t="n">
        <f aca="false">MAX(0,AD55-H55)</f>
        <v>0</v>
      </c>
      <c r="AT55" s="0" t="n">
        <f aca="false">MIN(Assumptions!$B$29,AS55)</f>
        <v>0</v>
      </c>
      <c r="AU55" s="1" t="n">
        <f aca="false">IF(AS55&gt;=Assumptions!$B$29,0,-PV(Assumptions!$B$5,Assumptions!$B$29-AS55,AR55))</f>
        <v>25002.3374999999</v>
      </c>
      <c r="AV55" s="1" t="n">
        <f aca="false">(-PV(Assumptions!$B$3,AT55,AR55))/POWER(1+Assumptions!$B$2,AH55)</f>
        <v>0</v>
      </c>
      <c r="AW55" s="1" t="n">
        <f aca="false">-PV(Assumptions!$B$2,AH55,T55+AI55)</f>
        <v>5318.41766002654</v>
      </c>
      <c r="AX55" s="1" t="n">
        <f aca="false">(-PV(Assumptions!$B$2,C55,S55))-(-PV(Assumptions!$B$2,AH55,S55))</f>
        <v>0</v>
      </c>
      <c r="AY55" s="1" t="n">
        <f aca="false">AJ55+AW55+AX55+(-PV(Assumptions!$B$2,C55,R55))+X55-(W55/POWER(1+Assumptions!$B$2,C55))</f>
        <v>6622.54375118729</v>
      </c>
      <c r="AZ55" s="1" t="n">
        <f aca="false">AY55+AV55+(AU55/POWER(1+Assumptions!$B$2,C55))</f>
        <v>28406.691217618</v>
      </c>
      <c r="BA55" s="0" t="n">
        <f aca="false">AQ55/POWER(1+Assumptions!$B$2,AH55)</f>
        <v>21784.1474664308</v>
      </c>
      <c r="BB55" s="1" t="n">
        <f aca="false">AY55+BA55</f>
        <v>28406.6912176181</v>
      </c>
      <c r="BC55" s="1" t="n">
        <f aca="false">AJ55+Assumptions!$B$28/POWER(1+Assumptions!$B$2,AH55)+(-PV(Assumptions!$B$2,AH55,R55+T55+AI55))</f>
        <v>31987.7402752853</v>
      </c>
      <c r="BD55" s="1" t="n">
        <f aca="false">MIN(Z55,AG55,AZ55)</f>
        <v>28082.4062828908</v>
      </c>
      <c r="BE55" s="0" t="str">
        <f aca="false">IF(BD55=Z55,"Cash",IF(BD55=AG55,"Loan","Lease then buy out"))</f>
        <v>Cash</v>
      </c>
    </row>
    <row r="56" customFormat="false" ht="15" hidden="false" customHeight="false" outlineLevel="0" collapsed="false">
      <c r="A56" s="0" t="s">
        <v>48</v>
      </c>
      <c r="B56" s="0" t="s">
        <v>115</v>
      </c>
      <c r="C56" s="0" t="n">
        <v>3</v>
      </c>
      <c r="D56" s="0" t="n">
        <v>1</v>
      </c>
      <c r="E56" s="0" t="n">
        <v>38215</v>
      </c>
      <c r="F56" s="0" t="n">
        <v>2972</v>
      </c>
      <c r="G56" s="0" t="n">
        <v>472</v>
      </c>
      <c r="H56" s="0" t="n">
        <v>36</v>
      </c>
      <c r="I56" s="0" t="n">
        <v>111</v>
      </c>
      <c r="J56" s="0" t="n">
        <v>4466</v>
      </c>
      <c r="K56" s="0" t="s">
        <v>99</v>
      </c>
      <c r="L56" s="0" t="n">
        <v>122.6</v>
      </c>
      <c r="M56" s="0" t="n">
        <f aca="false">MAX(Assumptions!$B$33,Assumptions!$B$30-Assumptions!$B$31*(H56-36)-IF(D56=1,Assumptions!$B$32,0))</f>
        <v>0.49</v>
      </c>
      <c r="N56" s="0" t="n">
        <f aca="false">E56*M56</f>
        <v>18725.35</v>
      </c>
      <c r="O56" s="0" t="n">
        <f aca="false">1-POWER(J56/E56,0.1)</f>
        <v>0.193195177439927</v>
      </c>
      <c r="P56" s="0" t="n">
        <f aca="false">E56*(1+Assumptions!$B$8)+Assumptions!$B$9</f>
        <v>40525.75</v>
      </c>
      <c r="Q56" s="0" t="n">
        <f aca="false">IF(D56=1,Assumptions!$B$14*33.7,Assumptions!$B$13)</f>
        <v>5.729</v>
      </c>
      <c r="R56" s="0" t="n">
        <f aca="false">(Assumptions!$B$10/I56)*Q56</f>
        <v>516.126126126126</v>
      </c>
      <c r="S56" s="0" t="n">
        <f aca="false">Assumptions!$B$15+Assumptions!$B$17</f>
        <v>1750</v>
      </c>
      <c r="T56" s="0" t="n">
        <f aca="false">Assumptions!$B$15*(1+Assumptions!$B$16)+Assumptions!$B$17</f>
        <v>1942</v>
      </c>
      <c r="U56" s="0" t="n">
        <f aca="false">IF(OR(C56&gt;Assumptions!$B$11,Assumptions!$B$10*C56&gt;Assumptions!$B$12),1,0)</f>
        <v>0</v>
      </c>
      <c r="V56" s="0" t="n">
        <f aca="false">MAX(0.6,1-Assumptions!$B$22*MAX(0,(Assumptions!$B$10-10000)*C56)/10000)</f>
        <v>1</v>
      </c>
      <c r="W56" s="0" t="n">
        <f aca="false">IF(U56=1,Assumptions!$B$23,MAX(Assumptions!$B$23,E56*POWER(1-O56,C56)*V56))</f>
        <v>20069.6278916716</v>
      </c>
      <c r="X56" s="0" t="n">
        <f aca="true">SUMPRODUCT((ROW(INDIRECT("1:"&amp;C56))&gt;Assumptions!$B$20)*Assumptions!$B$18*POWER(Assumptions!$B$19,ROW(INDIRECT("1:"&amp;C56))-Assumptions!$B$20-1)*IF(ROW(INDIRECT("1:"&amp;C56))&gt;Assumptions!$B$11,Assumptions!$B$21,1)/POWER(1+Assumptions!$B$2,ROW(INDIRECT("1:"&amp;C56))))</f>
        <v>0</v>
      </c>
      <c r="Y56" s="1" t="n">
        <f aca="false">-PV(Assumptions!$B$2,C56,R56+S56)+X56</f>
        <v>6206.0788923979</v>
      </c>
      <c r="Z56" s="1" t="n">
        <f aca="false">P56+Y56-(W56/POWER(1+Assumptions!$B$2,C56))</f>
        <v>29245.4745229888</v>
      </c>
      <c r="AA56" s="0" t="n">
        <f aca="false">P56*Assumptions!$B$7</f>
        <v>4052.575</v>
      </c>
      <c r="AB56" s="0" t="n">
        <f aca="false">P56-AA56</f>
        <v>36473.175</v>
      </c>
      <c r="AC56" s="1" t="n">
        <f aca="false">PMT(Assumptions!$B$5,Assumptions!$B$6,-AB56)</f>
        <v>722.040510908009</v>
      </c>
      <c r="AD56" s="0" t="n">
        <f aca="false">C56*12</f>
        <v>36</v>
      </c>
      <c r="AE56" s="0" t="n">
        <f aca="false">MIN(Assumptions!$B$6,AD56)</f>
        <v>36</v>
      </c>
      <c r="AF56" s="1" t="n">
        <f aca="false">IF(AD56&gt;=Assumptions!$B$6,0,-PV(Assumptions!$B$5,Assumptions!$B$6-AD56,AC56))</f>
        <v>16128.4795345539</v>
      </c>
      <c r="AG56" s="1" t="n">
        <f aca="false">AA56+(-PV(Assumptions!$B$3,AE56,AC56))+Y56-((W56-AF56)/POWER(1+Assumptions!$B$2,C56))</f>
        <v>31024.7887352691</v>
      </c>
      <c r="AH56" s="0" t="n">
        <f aca="false">H56/12</f>
        <v>3</v>
      </c>
      <c r="AI56" s="0" t="n">
        <f aca="false">MAX(0,Assumptions!$B$10-Assumptions!$B$24)*Assumptions!$B$25</f>
        <v>0</v>
      </c>
      <c r="AJ56" s="1" t="n">
        <f aca="false">F56+Assumptions!$B$27+(-PV(Assumptions!$B$3,H56-1,G56))</f>
        <v>19081.5685430551</v>
      </c>
      <c r="AK56" s="0" t="n">
        <f aca="false">CEILING(C56/AH56,1)</f>
        <v>1</v>
      </c>
      <c r="AL56" s="0" t="n">
        <f aca="false">(1+Assumptions!$B$26)/POWER(1+Assumptions!$B$2,AH56)</f>
        <v>0.906135810905202</v>
      </c>
      <c r="AM56" s="0" t="n">
        <f aca="false">IF(ABS(1-AL56)&lt;0.000000000001,AK56,(1-POWER(AL56,AK56))/(1-AL56))</f>
        <v>1</v>
      </c>
      <c r="AN56" s="0" t="n">
        <f aca="false">1/POWER(1+Assumptions!$B$2,AH56)</f>
        <v>0.871284433562695</v>
      </c>
      <c r="AO56" s="0" t="n">
        <f aca="false">IF(ABS(1-AN56)&lt;0.000000000001,AK56,AN56*(1-POWER(AN56,AK56))/(1-AN56))</f>
        <v>0.871284433562695</v>
      </c>
      <c r="AP56" s="1" t="n">
        <f aca="false">AJ56*AM56+Assumptions!$B$28*AO56+(-PV(Assumptions!$B$2,C56,R56+T56+AI56))</f>
        <v>26161.9779909198</v>
      </c>
      <c r="AQ56" s="0" t="n">
        <f aca="false">N56*(1+Assumptions!$B$8)</f>
        <v>19661.6175</v>
      </c>
      <c r="AR56" s="1" t="n">
        <f aca="false">PMT(Assumptions!$B$5,Assumptions!$B$29,-AQ56)</f>
        <v>607.00377611298</v>
      </c>
      <c r="AS56" s="0" t="n">
        <f aca="false">MAX(0,AD56-H56)</f>
        <v>0</v>
      </c>
      <c r="AT56" s="0" t="n">
        <f aca="false">MIN(Assumptions!$B$29,AS56)</f>
        <v>0</v>
      </c>
      <c r="AU56" s="1" t="n">
        <f aca="false">IF(AS56&gt;=Assumptions!$B$29,0,-PV(Assumptions!$B$5,Assumptions!$B$29-AS56,AR56))</f>
        <v>19661.6174999999</v>
      </c>
      <c r="AV56" s="1" t="n">
        <f aca="false">(-PV(Assumptions!$B$3,AT56,AR56))/POWER(1+Assumptions!$B$2,AH56)</f>
        <v>0</v>
      </c>
      <c r="AW56" s="1" t="n">
        <f aca="false">-PV(Assumptions!$B$2,AH56,T56+AI56)</f>
        <v>5318.41766002654</v>
      </c>
      <c r="AX56" s="1" t="n">
        <f aca="false">(-PV(Assumptions!$B$2,C56,S56))-(-PV(Assumptions!$B$2,AH56,S56))</f>
        <v>0</v>
      </c>
      <c r="AY56" s="1" t="n">
        <f aca="false">AJ56+AW56+AX56+(-PV(Assumptions!$B$2,C56,R56))+X56-(W56/POWER(1+Assumptions!$B$2,C56))</f>
        <v>8327.10984808562</v>
      </c>
      <c r="AZ56" s="1" t="n">
        <f aca="false">AY56+AV56+(AU56/POWER(1+Assumptions!$B$2,C56))</f>
        <v>25457.9711144994</v>
      </c>
      <c r="BA56" s="0" t="n">
        <f aca="false">AQ56/POWER(1+Assumptions!$B$2,AH56)</f>
        <v>17130.8612664139</v>
      </c>
      <c r="BB56" s="1" t="n">
        <f aca="false">AY56+BA56</f>
        <v>25457.9711144995</v>
      </c>
      <c r="BC56" s="1" t="n">
        <f aca="false">AJ56+Assumptions!$B$28/POWER(1+Assumptions!$B$2,AH56)+(-PV(Assumptions!$B$2,AH56,R56+T56+AI56))</f>
        <v>26161.9779909198</v>
      </c>
      <c r="BD56" s="1" t="n">
        <f aca="false">MIN(Z56,AG56,AZ56)</f>
        <v>25457.9711144994</v>
      </c>
      <c r="BE56" s="0" t="str">
        <f aca="false">IF(BD56=Z56,"Cash",IF(BD56=AG56,"Loan","Lease then buy out"))</f>
        <v>Lease then buy out</v>
      </c>
    </row>
    <row r="57" customFormat="false" ht="15" hidden="false" customHeight="false" outlineLevel="0" collapsed="false">
      <c r="A57" s="0" t="s">
        <v>103</v>
      </c>
      <c r="B57" s="0" t="s">
        <v>116</v>
      </c>
      <c r="C57" s="0" t="n">
        <v>3</v>
      </c>
      <c r="D57" s="0" t="n">
        <v>0</v>
      </c>
      <c r="E57" s="0" t="n">
        <v>23950</v>
      </c>
      <c r="F57" s="0" t="n">
        <v>3599</v>
      </c>
      <c r="G57" s="0" t="n">
        <v>249</v>
      </c>
      <c r="H57" s="0" t="n">
        <v>36</v>
      </c>
      <c r="I57" s="0" t="n">
        <v>36</v>
      </c>
      <c r="J57" s="0" t="n">
        <v>10251</v>
      </c>
      <c r="K57" s="0" t="s">
        <v>99</v>
      </c>
      <c r="L57" s="0" t="n">
        <v>112.6</v>
      </c>
      <c r="M57" s="0" t="n">
        <f aca="false">MAX(Assumptions!$B$33,Assumptions!$B$30-Assumptions!$B$31*(H57-36)-IF(D57=1,Assumptions!$B$32,0))</f>
        <v>0.57</v>
      </c>
      <c r="N57" s="0" t="n">
        <f aca="false">E57*M57</f>
        <v>13651.5</v>
      </c>
      <c r="O57" s="0" t="n">
        <f aca="false">1-POWER(J57/E57,0.1)</f>
        <v>0.0813584775287319</v>
      </c>
      <c r="P57" s="0" t="n">
        <f aca="false">E57*(1+Assumptions!$B$8)+Assumptions!$B$9</f>
        <v>25547.5</v>
      </c>
      <c r="Q57" s="0" t="n">
        <f aca="false">IF(D57=1,Assumptions!$B$14*33.7,Assumptions!$B$13)</f>
        <v>3.1</v>
      </c>
      <c r="R57" s="0" t="n">
        <f aca="false">(Assumptions!$B$10/I57)*Q57</f>
        <v>861.111111111111</v>
      </c>
      <c r="S57" s="0" t="n">
        <f aca="false">Assumptions!$B$15+Assumptions!$B$17</f>
        <v>1750</v>
      </c>
      <c r="T57" s="0" t="n">
        <f aca="false">Assumptions!$B$15*(1+Assumptions!$B$16)+Assumptions!$B$17</f>
        <v>1942</v>
      </c>
      <c r="U57" s="0" t="n">
        <f aca="false">IF(OR(C57&gt;Assumptions!$B$11,Assumptions!$B$10*C57&gt;Assumptions!$B$12),1,0)</f>
        <v>0</v>
      </c>
      <c r="V57" s="0" t="n">
        <f aca="false">MAX(0.6,1-Assumptions!$B$22*MAX(0,(Assumptions!$B$10-10000)*C57)/10000)</f>
        <v>1</v>
      </c>
      <c r="W57" s="0" t="n">
        <f aca="false">IF(U57=1,Assumptions!$B$23,MAX(Assumptions!$B$23,E57*POWER(1-O57,C57)*V57))</f>
        <v>18567.085293557</v>
      </c>
      <c r="X57" s="0" t="n">
        <f aca="true">SUMPRODUCT((ROW(INDIRECT("1:"&amp;C57))&gt;Assumptions!$B$20)*Assumptions!$B$18*POWER(Assumptions!$B$19,ROW(INDIRECT("1:"&amp;C57))-Assumptions!$B$20-1)*IF(ROW(INDIRECT("1:"&amp;C57))&gt;Assumptions!$B$11,Assumptions!$B$21,1)/POWER(1+Assumptions!$B$2,ROW(INDIRECT("1:"&amp;C57))))</f>
        <v>0</v>
      </c>
      <c r="Y57" s="1" t="n">
        <f aca="false">-PV(Assumptions!$B$2,C57,R57+S57)+X57</f>
        <v>7150.86480207253</v>
      </c>
      <c r="Z57" s="1" t="n">
        <f aca="false">P57+Y57-(W57/POWER(1+Assumptions!$B$2,C57))</f>
        <v>16521.1524091655</v>
      </c>
      <c r="AA57" s="0" t="n">
        <f aca="false">P57*Assumptions!$B$7</f>
        <v>2554.75</v>
      </c>
      <c r="AB57" s="0" t="n">
        <f aca="false">P57-AA57</f>
        <v>22992.75</v>
      </c>
      <c r="AC57" s="1" t="n">
        <f aca="false">PMT(Assumptions!$B$5,Assumptions!$B$6,-AB57)</f>
        <v>455.175535367572</v>
      </c>
      <c r="AD57" s="0" t="n">
        <f aca="false">C57*12</f>
        <v>36</v>
      </c>
      <c r="AE57" s="0" t="n">
        <f aca="false">MIN(Assumptions!$B$6,AD57)</f>
        <v>36</v>
      </c>
      <c r="AF57" s="1" t="n">
        <f aca="false">IF(AD57&gt;=Assumptions!$B$6,0,-PV(Assumptions!$B$5,Assumptions!$B$6-AD57,AC57))</f>
        <v>10167.4202429077</v>
      </c>
      <c r="AG57" s="1" t="n">
        <f aca="false">AA57+(-PV(Assumptions!$B$3,AE57,AC57))+Y57-((W57-AF57)/POWER(1+Assumptions!$B$2,C57))</f>
        <v>17642.8350390546</v>
      </c>
      <c r="AH57" s="0" t="n">
        <f aca="false">H57/12</f>
        <v>3</v>
      </c>
      <c r="AI57" s="0" t="n">
        <f aca="false">MAX(0,Assumptions!$B$10-Assumptions!$B$24)*Assumptions!$B$25</f>
        <v>0</v>
      </c>
      <c r="AJ57" s="1" t="n">
        <f aca="false">F57+Assumptions!$B$27+(-PV(Assumptions!$B$3,H57-1,G57))</f>
        <v>12428.2003542812</v>
      </c>
      <c r="AK57" s="0" t="n">
        <f aca="false">CEILING(C57/AH57,1)</f>
        <v>1</v>
      </c>
      <c r="AL57" s="0" t="n">
        <f aca="false">(1+Assumptions!$B$26)/POWER(1+Assumptions!$B$2,AH57)</f>
        <v>0.906135810905202</v>
      </c>
      <c r="AM57" s="0" t="n">
        <f aca="false">IF(ABS(1-AL57)&lt;0.000000000001,AK57,(1-POWER(AL57,AK57))/(1-AL57))</f>
        <v>1</v>
      </c>
      <c r="AN57" s="0" t="n">
        <f aca="false">1/POWER(1+Assumptions!$B$2,AH57)</f>
        <v>0.871284433562695</v>
      </c>
      <c r="AO57" s="0" t="n">
        <f aca="false">IF(ABS(1-AN57)&lt;0.000000000001,AK57,AN57*(1-POWER(AN57,AK57))/(1-AN57))</f>
        <v>0.871284433562695</v>
      </c>
      <c r="AP57" s="1" t="n">
        <f aca="false">AJ57*AM57+Assumptions!$B$28*AO57+(-PV(Assumptions!$B$2,C57,R57+T57+AI57))</f>
        <v>20453.3957118205</v>
      </c>
      <c r="AQ57" s="0" t="n">
        <f aca="false">N57*(1+Assumptions!$B$8)</f>
        <v>14334.075</v>
      </c>
      <c r="AR57" s="1" t="n">
        <f aca="false">PMT(Assumptions!$B$5,Assumptions!$B$29,-AQ57)</f>
        <v>442.529087552774</v>
      </c>
      <c r="AS57" s="0" t="n">
        <f aca="false">MAX(0,AD57-H57)</f>
        <v>0</v>
      </c>
      <c r="AT57" s="0" t="n">
        <f aca="false">MIN(Assumptions!$B$29,AS57)</f>
        <v>0</v>
      </c>
      <c r="AU57" s="1" t="n">
        <f aca="false">IF(AS57&gt;=Assumptions!$B$29,0,-PV(Assumptions!$B$5,Assumptions!$B$29-AS57,AR57))</f>
        <v>14334.0749999999</v>
      </c>
      <c r="AV57" s="1" t="n">
        <f aca="false">(-PV(Assumptions!$B$3,AT57,AR57))/POWER(1+Assumptions!$B$2,AH57)</f>
        <v>0</v>
      </c>
      <c r="AW57" s="1" t="n">
        <f aca="false">-PV(Assumptions!$B$2,AH57,T57+AI57)</f>
        <v>5318.41766002654</v>
      </c>
      <c r="AX57" s="1" t="n">
        <f aca="false">(-PV(Assumptions!$B$2,C57,S57))-(-PV(Assumptions!$B$2,AH57,S57))</f>
        <v>0</v>
      </c>
      <c r="AY57" s="1" t="n">
        <f aca="false">AJ57+AW57+AX57+(-PV(Assumptions!$B$2,C57,R57))+X57-(W57/POWER(1+Assumptions!$B$2,C57))</f>
        <v>3927.6695454884</v>
      </c>
      <c r="AZ57" s="1" t="n">
        <f aca="false">AY57+AV57+(AU57/POWER(1+Assumptions!$B$2,C57))</f>
        <v>16416.7259625085</v>
      </c>
      <c r="BA57" s="0" t="n">
        <f aca="false">AQ57/POWER(1+Assumptions!$B$2,AH57)</f>
        <v>12489.0564170202</v>
      </c>
      <c r="BB57" s="1" t="n">
        <f aca="false">AY57+BA57</f>
        <v>16416.7259625086</v>
      </c>
      <c r="BC57" s="1" t="n">
        <f aca="false">AJ57+Assumptions!$B$28/POWER(1+Assumptions!$B$2,AH57)+(-PV(Assumptions!$B$2,AH57,R57+T57+AI57))</f>
        <v>20453.3957118205</v>
      </c>
      <c r="BD57" s="1" t="n">
        <f aca="false">MIN(Z57,AG57,AZ57)</f>
        <v>16416.7259625085</v>
      </c>
      <c r="BE57" s="0" t="str">
        <f aca="false">IF(BD57=Z57,"Cash",IF(BD57=AG57,"Loan","Lease then buy out"))</f>
        <v>Lease then buy out</v>
      </c>
    </row>
    <row r="58" customFormat="false" ht="15" hidden="false" customHeight="false" outlineLevel="0" collapsed="false">
      <c r="A58" s="0" t="s">
        <v>58</v>
      </c>
      <c r="B58" s="0" t="s">
        <v>117</v>
      </c>
      <c r="C58" s="0" t="n">
        <v>3</v>
      </c>
      <c r="D58" s="0" t="n">
        <v>0</v>
      </c>
      <c r="E58" s="0" t="n">
        <v>27950</v>
      </c>
      <c r="F58" s="0" t="n">
        <v>3999</v>
      </c>
      <c r="G58" s="0" t="n">
        <v>299</v>
      </c>
      <c r="H58" s="0" t="n">
        <v>36</v>
      </c>
      <c r="I58" s="0" t="n">
        <v>51</v>
      </c>
      <c r="J58" s="0" t="n">
        <v>10055</v>
      </c>
      <c r="K58" s="0" t="s">
        <v>99</v>
      </c>
      <c r="L58" s="0" t="n">
        <v>120.7</v>
      </c>
      <c r="M58" s="0" t="n">
        <f aca="false">MAX(Assumptions!$B$33,Assumptions!$B$30-Assumptions!$B$31*(H58-36)-IF(D58=1,Assumptions!$B$32,0))</f>
        <v>0.57</v>
      </c>
      <c r="N58" s="0" t="n">
        <f aca="false">E58*M58</f>
        <v>15931.5</v>
      </c>
      <c r="O58" s="0" t="n">
        <f aca="false">1-POWER(J58/E58,0.1)</f>
        <v>0.0971823804211457</v>
      </c>
      <c r="P58" s="0" t="n">
        <f aca="false">E58*(1+Assumptions!$B$8)+Assumptions!$B$9</f>
        <v>29747.5</v>
      </c>
      <c r="Q58" s="0" t="n">
        <f aca="false">IF(D58=1,Assumptions!$B$14*33.7,Assumptions!$B$13)</f>
        <v>3.1</v>
      </c>
      <c r="R58" s="0" t="n">
        <f aca="false">(Assumptions!$B$10/I58)*Q58</f>
        <v>607.843137254902</v>
      </c>
      <c r="S58" s="0" t="n">
        <f aca="false">Assumptions!$B$15+Assumptions!$B$17</f>
        <v>1750</v>
      </c>
      <c r="T58" s="0" t="n">
        <f aca="false">Assumptions!$B$15*(1+Assumptions!$B$16)+Assumptions!$B$17</f>
        <v>1942</v>
      </c>
      <c r="U58" s="0" t="n">
        <f aca="false">IF(OR(C58&gt;Assumptions!$B$11,Assumptions!$B$10*C58&gt;Assumptions!$B$12),1,0)</f>
        <v>0</v>
      </c>
      <c r="V58" s="0" t="n">
        <f aca="false">MAX(0.6,1-Assumptions!$B$22*MAX(0,(Assumptions!$B$10-10000)*C58)/10000)</f>
        <v>1</v>
      </c>
      <c r="W58" s="0" t="n">
        <f aca="false">IF(U58=1,Assumptions!$B$23,MAX(Assumptions!$B$23,E58*POWER(1-O58,C58)*V58))</f>
        <v>20567.5182357133</v>
      </c>
      <c r="X58" s="0" t="n">
        <f aca="true">SUMPRODUCT((ROW(INDIRECT("1:"&amp;C58))&gt;Assumptions!$B$20)*Assumptions!$B$18*POWER(Assumptions!$B$19,ROW(INDIRECT("1:"&amp;C58))-Assumptions!$B$20-1)*IF(ROW(INDIRECT("1:"&amp;C58))&gt;Assumptions!$B$11,Assumptions!$B$21,1)/POWER(1+Assumptions!$B$2,ROW(INDIRECT("1:"&amp;C58))))</f>
        <v>0</v>
      </c>
      <c r="Y58" s="1" t="n">
        <f aca="false">-PV(Assumptions!$B$2,C58,R58+S58)+X58</f>
        <v>6457.25776557613</v>
      </c>
      <c r="Z58" s="1" t="n">
        <f aca="false">P58+Y58-(W58/POWER(1+Assumptions!$B$2,C58))</f>
        <v>18284.5992897823</v>
      </c>
      <c r="AA58" s="0" t="n">
        <f aca="false">P58*Assumptions!$B$7</f>
        <v>2974.75</v>
      </c>
      <c r="AB58" s="0" t="n">
        <f aca="false">P58-AA58</f>
        <v>26772.75</v>
      </c>
      <c r="AC58" s="1" t="n">
        <f aca="false">PMT(Assumptions!$B$5,Assumptions!$B$6,-AB58)</f>
        <v>530.006233030505</v>
      </c>
      <c r="AD58" s="0" t="n">
        <f aca="false">C58*12</f>
        <v>36</v>
      </c>
      <c r="AE58" s="0" t="n">
        <f aca="false">MIN(Assumptions!$B$6,AD58)</f>
        <v>36</v>
      </c>
      <c r="AF58" s="1" t="n">
        <f aca="false">IF(AD58&gt;=Assumptions!$B$6,0,-PV(Assumptions!$B$5,Assumptions!$B$6-AD58,AC58))</f>
        <v>11838.9405490125</v>
      </c>
      <c r="AG58" s="1" t="n">
        <f aca="false">AA58+(-PV(Assumptions!$B$3,AE58,AC58))+Y58-((W58-AF58)/POWER(1+Assumptions!$B$2,C58))</f>
        <v>19590.6861488733</v>
      </c>
      <c r="AH58" s="0" t="n">
        <f aca="false">H58/12</f>
        <v>3</v>
      </c>
      <c r="AI58" s="0" t="n">
        <f aca="false">MAX(0,Assumptions!$B$10-Assumptions!$B$24)*Assumptions!$B$25</f>
        <v>0</v>
      </c>
      <c r="AJ58" s="1" t="n">
        <f aca="false">F58+Assumptions!$B$27+(-PV(Assumptions!$B$3,H58-1,G58))</f>
        <v>14460.5699033336</v>
      </c>
      <c r="AK58" s="0" t="n">
        <f aca="false">CEILING(C58/AH58,1)</f>
        <v>1</v>
      </c>
      <c r="AL58" s="0" t="n">
        <f aca="false">(1+Assumptions!$B$26)/POWER(1+Assumptions!$B$2,AH58)</f>
        <v>0.906135810905202</v>
      </c>
      <c r="AM58" s="0" t="n">
        <f aca="false">IF(ABS(1-AL58)&lt;0.000000000001,AK58,(1-POWER(AL58,AK58))/(1-AL58))</f>
        <v>1</v>
      </c>
      <c r="AN58" s="0" t="n">
        <f aca="false">1/POWER(1+Assumptions!$B$2,AH58)</f>
        <v>0.871284433562695</v>
      </c>
      <c r="AO58" s="0" t="n">
        <f aca="false">IF(ABS(1-AN58)&lt;0.000000000001,AK58,AN58*(1-POWER(AN58,AK58))/(1-AN58))</f>
        <v>0.871284433562695</v>
      </c>
      <c r="AP58" s="1" t="n">
        <f aca="false">AJ58*AM58+Assumptions!$B$28*AO58+(-PV(Assumptions!$B$2,C58,R58+T58+AI58))</f>
        <v>21792.1582243766</v>
      </c>
      <c r="AQ58" s="0" t="n">
        <f aca="false">N58*(1+Assumptions!$B$8)</f>
        <v>16728.075</v>
      </c>
      <c r="AR58" s="1" t="n">
        <f aca="false">PMT(Assumptions!$B$5,Assumptions!$B$29,-AQ58)</f>
        <v>516.437912196244</v>
      </c>
      <c r="AS58" s="0" t="n">
        <f aca="false">MAX(0,AD58-H58)</f>
        <v>0</v>
      </c>
      <c r="AT58" s="0" t="n">
        <f aca="false">MIN(Assumptions!$B$29,AS58)</f>
        <v>0</v>
      </c>
      <c r="AU58" s="1" t="n">
        <f aca="false">IF(AS58&gt;=Assumptions!$B$29,0,-PV(Assumptions!$B$5,Assumptions!$B$29-AS58,AR58))</f>
        <v>16728.0749999999</v>
      </c>
      <c r="AV58" s="1" t="n">
        <f aca="false">(-PV(Assumptions!$B$3,AT58,AR58))/POWER(1+Assumptions!$B$2,AH58)</f>
        <v>0</v>
      </c>
      <c r="AW58" s="1" t="n">
        <f aca="false">-PV(Assumptions!$B$2,AH58,T58+AI58)</f>
        <v>5318.41766002654</v>
      </c>
      <c r="AX58" s="1" t="n">
        <f aca="false">(-PV(Assumptions!$B$2,C58,S58))-(-PV(Assumptions!$B$2,AH58,S58))</f>
        <v>0</v>
      </c>
      <c r="AY58" s="1" t="n">
        <f aca="false">AJ58+AW58+AX58+(-PV(Assumptions!$B$2,C58,R58))+X58-(W58/POWER(1+Assumptions!$B$2,C58))</f>
        <v>3523.48597515768</v>
      </c>
      <c r="AZ58" s="1" t="n">
        <f aca="false">AY58+AV58+(AU58/POWER(1+Assumptions!$B$2,C58))</f>
        <v>18098.3973261269</v>
      </c>
      <c r="BA58" s="0" t="n">
        <f aca="false">AQ58/POWER(1+Assumptions!$B$2,AH58)</f>
        <v>14574.9113509693</v>
      </c>
      <c r="BB58" s="1" t="n">
        <f aca="false">AY58+BA58</f>
        <v>18098.397326127</v>
      </c>
      <c r="BC58" s="1" t="n">
        <f aca="false">AJ58+Assumptions!$B$28/POWER(1+Assumptions!$B$2,AH58)+(-PV(Assumptions!$B$2,AH58,R58+T58+AI58))</f>
        <v>21792.1582243766</v>
      </c>
      <c r="BD58" s="1" t="n">
        <f aca="false">MIN(Z58,AG58,AZ58)</f>
        <v>18098.3973261269</v>
      </c>
      <c r="BE58" s="0" t="str">
        <f aca="false">IF(BD58=Z58,"Cash",IF(BD58=AG58,"Loan","Lease then buy out"))</f>
        <v>Lease then buy out</v>
      </c>
    </row>
    <row r="59" customFormat="false" ht="15" hidden="false" customHeight="false" outlineLevel="0" collapsed="false">
      <c r="A59" s="0" t="s">
        <v>118</v>
      </c>
      <c r="B59" s="0" t="s">
        <v>119</v>
      </c>
      <c r="C59" s="0" t="n">
        <v>3</v>
      </c>
      <c r="D59" s="0" t="n">
        <v>0</v>
      </c>
      <c r="E59" s="0" t="n">
        <v>35800</v>
      </c>
      <c r="F59" s="0" t="n">
        <v>3820</v>
      </c>
      <c r="G59" s="0" t="n">
        <v>426</v>
      </c>
      <c r="H59" s="0" t="n">
        <v>36</v>
      </c>
      <c r="I59" s="0" t="n">
        <v>32</v>
      </c>
      <c r="J59" s="0" t="n">
        <v>10148</v>
      </c>
      <c r="K59" s="0" t="s">
        <v>99</v>
      </c>
      <c r="L59" s="0" t="n">
        <v>121.6</v>
      </c>
      <c r="M59" s="0" t="n">
        <f aca="false">MAX(Assumptions!$B$33,Assumptions!$B$30-Assumptions!$B$31*(H59-36)-IF(D59=1,Assumptions!$B$32,0))</f>
        <v>0.57</v>
      </c>
      <c r="N59" s="0" t="n">
        <f aca="false">E59*M59</f>
        <v>20406</v>
      </c>
      <c r="O59" s="0" t="n">
        <f aca="false">1-POWER(J59/E59,0.1)</f>
        <v>0.11844432977423</v>
      </c>
      <c r="P59" s="0" t="n">
        <f aca="false">E59*(1+Assumptions!$B$8)+Assumptions!$B$9</f>
        <v>37990</v>
      </c>
      <c r="Q59" s="0" t="n">
        <f aca="false">IF(D59=1,Assumptions!$B$14*33.7,Assumptions!$B$13)</f>
        <v>3.1</v>
      </c>
      <c r="R59" s="0" t="n">
        <f aca="false">(Assumptions!$B$10/I59)*Q59</f>
        <v>968.75</v>
      </c>
      <c r="S59" s="0" t="n">
        <f aca="false">Assumptions!$B$15+Assumptions!$B$17</f>
        <v>1750</v>
      </c>
      <c r="T59" s="0" t="n">
        <f aca="false">Assumptions!$B$15*(1+Assumptions!$B$16)+Assumptions!$B$17</f>
        <v>1942</v>
      </c>
      <c r="U59" s="0" t="n">
        <f aca="false">IF(OR(C59&gt;Assumptions!$B$11,Assumptions!$B$10*C59&gt;Assumptions!$B$12),1,0)</f>
        <v>0</v>
      </c>
      <c r="V59" s="0" t="n">
        <f aca="false">MAX(0.6,1-Assumptions!$B$22*MAX(0,(Assumptions!$B$10-10000)*C59)/10000)</f>
        <v>1</v>
      </c>
      <c r="W59" s="0" t="n">
        <f aca="false">IF(U59=1,Assumptions!$B$23,MAX(Assumptions!$B$23,E59*POWER(1-O59,C59)*V59))</f>
        <v>24526.3124280581</v>
      </c>
      <c r="X59" s="0" t="n">
        <f aca="true">SUMPRODUCT((ROW(INDIRECT("1:"&amp;C59))&gt;Assumptions!$B$20)*Assumptions!$B$18*POWER(Assumptions!$B$19,ROW(INDIRECT("1:"&amp;C59))-Assumptions!$B$20-1)*IF(ROW(INDIRECT("1:"&amp;C59))&gt;Assumptions!$B$11,Assumptions!$B$21,1)/POWER(1+Assumptions!$B$2,ROW(INDIRECT("1:"&amp;C59))))</f>
        <v>0</v>
      </c>
      <c r="Y59" s="1" t="n">
        <f aca="false">-PV(Assumptions!$B$2,C59,R59+S59)+X59</f>
        <v>7445.6477925835</v>
      </c>
      <c r="Z59" s="1" t="n">
        <f aca="false">P59+Y59-(W59/POWER(1+Assumptions!$B$2,C59))</f>
        <v>24066.2535613213</v>
      </c>
      <c r="AA59" s="0" t="n">
        <f aca="false">P59*Assumptions!$B$7</f>
        <v>3799</v>
      </c>
      <c r="AB59" s="0" t="n">
        <f aca="false">P59-AA59</f>
        <v>34191</v>
      </c>
      <c r="AC59" s="1" t="n">
        <f aca="false">PMT(Assumptions!$B$5,Assumptions!$B$6,-AB59)</f>
        <v>676.861477194013</v>
      </c>
      <c r="AD59" s="0" t="n">
        <f aca="false">C59*12</f>
        <v>36</v>
      </c>
      <c r="AE59" s="0" t="n">
        <f aca="false">MIN(Assumptions!$B$6,AD59)</f>
        <v>36</v>
      </c>
      <c r="AF59" s="1" t="n">
        <f aca="false">IF(AD59&gt;=Assumptions!$B$6,0,-PV(Assumptions!$B$5,Assumptions!$B$6-AD59,AC59))</f>
        <v>15119.2991497431</v>
      </c>
      <c r="AG59" s="1" t="n">
        <f aca="false">AA59+(-PV(Assumptions!$B$3,AE59,AC59))+Y59-((W59-AF59)/POWER(1+Assumptions!$B$2,C59))</f>
        <v>25734.2337202209</v>
      </c>
      <c r="AH59" s="0" t="n">
        <f aca="false">H59/12</f>
        <v>3</v>
      </c>
      <c r="AI59" s="0" t="n">
        <f aca="false">MAX(0,Assumptions!$B$10-Assumptions!$B$24)*Assumptions!$B$25</f>
        <v>0</v>
      </c>
      <c r="AJ59" s="1" t="n">
        <f aca="false">F59+Assumptions!$B$27+(-PV(Assumptions!$B$3,H59-1,G59))</f>
        <v>18427.7885579268</v>
      </c>
      <c r="AK59" s="0" t="n">
        <f aca="false">CEILING(C59/AH59,1)</f>
        <v>1</v>
      </c>
      <c r="AL59" s="0" t="n">
        <f aca="false">(1+Assumptions!$B$26)/POWER(1+Assumptions!$B$2,AH59)</f>
        <v>0.906135810905202</v>
      </c>
      <c r="AM59" s="0" t="n">
        <f aca="false">IF(ABS(1-AL59)&lt;0.000000000001,AK59,(1-POWER(AL59,AK59))/(1-AL59))</f>
        <v>1</v>
      </c>
      <c r="AN59" s="0" t="n">
        <f aca="false">1/POWER(1+Assumptions!$B$2,AH59)</f>
        <v>0.871284433562695</v>
      </c>
      <c r="AO59" s="0" t="n">
        <f aca="false">IF(ABS(1-AN59)&lt;0.000000000001,AK59,AN59*(1-POWER(AN59,AK59))/(1-AN59))</f>
        <v>0.871284433562695</v>
      </c>
      <c r="AP59" s="1" t="n">
        <f aca="false">AJ59*AM59+Assumptions!$B$28*AO59+(-PV(Assumptions!$B$2,C59,R59+T59+AI59))</f>
        <v>26747.7669059772</v>
      </c>
      <c r="AQ59" s="0" t="n">
        <f aca="false">N59*(1+Assumptions!$B$8)</f>
        <v>21426.3</v>
      </c>
      <c r="AR59" s="1" t="n">
        <f aca="false">PMT(Assumptions!$B$5,Assumptions!$B$29,-AQ59)</f>
        <v>661.483980559053</v>
      </c>
      <c r="AS59" s="0" t="n">
        <f aca="false">MAX(0,AD59-H59)</f>
        <v>0</v>
      </c>
      <c r="AT59" s="0" t="n">
        <f aca="false">MIN(Assumptions!$B$29,AS59)</f>
        <v>0</v>
      </c>
      <c r="AU59" s="1" t="n">
        <f aca="false">IF(AS59&gt;=Assumptions!$B$29,0,-PV(Assumptions!$B$5,Assumptions!$B$29-AS59,AR59))</f>
        <v>21426.2999999999</v>
      </c>
      <c r="AV59" s="1" t="n">
        <f aca="false">(-PV(Assumptions!$B$3,AT59,AR59))/POWER(1+Assumptions!$B$2,AH59)</f>
        <v>0</v>
      </c>
      <c r="AW59" s="1" t="n">
        <f aca="false">-PV(Assumptions!$B$2,AH59,T59+AI59)</f>
        <v>5318.41766002654</v>
      </c>
      <c r="AX59" s="1" t="n">
        <f aca="false">(-PV(Assumptions!$B$2,C59,S59))-(-PV(Assumptions!$B$2,AH59,S59))</f>
        <v>0</v>
      </c>
      <c r="AY59" s="1" t="n">
        <f aca="false">AJ59+AW59+AX59+(-PV(Assumptions!$B$2,C59,R59))+X59-(W59/POWER(1+Assumptions!$B$2,C59))</f>
        <v>5029.85890128985</v>
      </c>
      <c r="AZ59" s="1" t="n">
        <f aca="false">AY59+AV59+(AU59/POWER(1+Assumptions!$B$2,C59))</f>
        <v>23698.2605601341</v>
      </c>
      <c r="BA59" s="0" t="n">
        <f aca="false">AQ59/POWER(1+Assumptions!$B$2,AH59)</f>
        <v>18668.4016588444</v>
      </c>
      <c r="BB59" s="1" t="n">
        <f aca="false">AY59+BA59</f>
        <v>23698.2605601342</v>
      </c>
      <c r="BC59" s="1" t="n">
        <f aca="false">AJ59+Assumptions!$B$28/POWER(1+Assumptions!$B$2,AH59)+(-PV(Assumptions!$B$2,AH59,R59+T59+AI59))</f>
        <v>26747.7669059772</v>
      </c>
      <c r="BD59" s="1" t="n">
        <f aca="false">MIN(Z59,AG59,AZ59)</f>
        <v>23698.2605601341</v>
      </c>
      <c r="BE59" s="0" t="str">
        <f aca="false">IF(BD59=Z59,"Cash",IF(BD59=AG59,"Loan","Lease then buy out"))</f>
        <v>Lease then buy out</v>
      </c>
    </row>
    <row r="60" customFormat="false" ht="15" hidden="false" customHeight="false" outlineLevel="0" collapsed="false">
      <c r="A60" s="0" t="s">
        <v>58</v>
      </c>
      <c r="B60" s="0" t="s">
        <v>120</v>
      </c>
      <c r="C60" s="0" t="n">
        <v>3</v>
      </c>
      <c r="D60" s="0" t="n">
        <v>0</v>
      </c>
      <c r="E60" s="0" t="n">
        <v>34070</v>
      </c>
      <c r="F60" s="0" t="n">
        <v>2928</v>
      </c>
      <c r="G60" s="0" t="n">
        <v>428</v>
      </c>
      <c r="H60" s="0" t="n">
        <v>36</v>
      </c>
      <c r="I60" s="0" t="n">
        <v>55</v>
      </c>
      <c r="J60" s="0" t="n">
        <v>12843</v>
      </c>
      <c r="K60" s="0" t="s">
        <v>99</v>
      </c>
      <c r="L60" s="0" t="n">
        <v>137.4</v>
      </c>
      <c r="M60" s="0" t="n">
        <f aca="false">MAX(Assumptions!$B$33,Assumptions!$B$30-Assumptions!$B$31*(H60-36)-IF(D60=1,Assumptions!$B$32,0))</f>
        <v>0.57</v>
      </c>
      <c r="N60" s="0" t="n">
        <f aca="false">E60*M60</f>
        <v>19419.9</v>
      </c>
      <c r="O60" s="0" t="n">
        <f aca="false">1-POWER(J60/E60,0.1)</f>
        <v>0.0929537442850482</v>
      </c>
      <c r="P60" s="0" t="n">
        <f aca="false">E60*(1+Assumptions!$B$8)+Assumptions!$B$9</f>
        <v>36173.5</v>
      </c>
      <c r="Q60" s="0" t="n">
        <f aca="false">IF(D60=1,Assumptions!$B$14*33.7,Assumptions!$B$13)</f>
        <v>3.1</v>
      </c>
      <c r="R60" s="0" t="n">
        <f aca="false">(Assumptions!$B$10/I60)*Q60</f>
        <v>563.636363636364</v>
      </c>
      <c r="S60" s="0" t="n">
        <f aca="false">Assumptions!$B$15+Assumptions!$B$17</f>
        <v>1750</v>
      </c>
      <c r="T60" s="0" t="n">
        <f aca="false">Assumptions!$B$15*(1+Assumptions!$B$16)+Assumptions!$B$17</f>
        <v>1942</v>
      </c>
      <c r="U60" s="0" t="n">
        <f aca="false">IF(OR(C60&gt;Assumptions!$B$11,Assumptions!$B$10*C60&gt;Assumptions!$B$12),1,0)</f>
        <v>0</v>
      </c>
      <c r="V60" s="0" t="n">
        <f aca="false">MAX(0.6,1-Assumptions!$B$22*MAX(0,(Assumptions!$B$10-10000)*C60)/10000)</f>
        <v>1</v>
      </c>
      <c r="W60" s="0" t="n">
        <f aca="false">IF(U60=1,Assumptions!$B$23,MAX(Assumptions!$B$23,E60*POWER(1-O60,C60)*V60))</f>
        <v>25424.969362529</v>
      </c>
      <c r="X60" s="0" t="n">
        <f aca="true">SUMPRODUCT((ROW(INDIRECT("1:"&amp;C60))&gt;Assumptions!$B$20)*Assumptions!$B$18*POWER(Assumptions!$B$19,ROW(INDIRECT("1:"&amp;C60))-Assumptions!$B$20-1)*IF(ROW(INDIRECT("1:"&amp;C60))&gt;Assumptions!$B$11,Assumptions!$B$21,1)/POWER(1+Assumptions!$B$2,ROW(INDIRECT("1:"&amp;C60))))</f>
        <v>0</v>
      </c>
      <c r="Y60" s="1" t="n">
        <f aca="false">-PV(Assumptions!$B$2,C60,R60+S60)+X60</f>
        <v>6336.19181011494</v>
      </c>
      <c r="Z60" s="1" t="n">
        <f aca="false">P60+Y60-(W60/POWER(1+Assumptions!$B$2,C60))</f>
        <v>20357.311780735</v>
      </c>
      <c r="AA60" s="0" t="n">
        <f aca="false">P60*Assumptions!$B$7</f>
        <v>3617.35</v>
      </c>
      <c r="AB60" s="0" t="n">
        <f aca="false">P60-AA60</f>
        <v>32556.15</v>
      </c>
      <c r="AC60" s="1" t="n">
        <f aca="false">PMT(Assumptions!$B$5,Assumptions!$B$6,-AB60)</f>
        <v>644.497200454794</v>
      </c>
      <c r="AD60" s="0" t="n">
        <f aca="false">C60*12</f>
        <v>36</v>
      </c>
      <c r="AE60" s="0" t="n">
        <f aca="false">MIN(Assumptions!$B$6,AD60)</f>
        <v>36</v>
      </c>
      <c r="AF60" s="1" t="n">
        <f aca="false">IF(AD60&gt;=Assumptions!$B$6,0,-PV(Assumptions!$B$5,Assumptions!$B$6-AD60,AC60))</f>
        <v>14396.3666173528</v>
      </c>
      <c r="AG60" s="1" t="n">
        <f aca="false">AA60+(-PV(Assumptions!$B$3,AE60,AC60))+Y60-((W60-AF60)/POWER(1+Assumptions!$B$2,C60))</f>
        <v>21945.5371105049</v>
      </c>
      <c r="AH60" s="0" t="n">
        <f aca="false">H60/12</f>
        <v>3</v>
      </c>
      <c r="AI60" s="0" t="n">
        <f aca="false">MAX(0,Assumptions!$B$10-Assumptions!$B$24)*Assumptions!$B$25</f>
        <v>0</v>
      </c>
      <c r="AJ60" s="1" t="n">
        <f aca="false">F60+Assumptions!$B$27+(-PV(Assumptions!$B$3,H60-1,G60))</f>
        <v>17601.0833398889</v>
      </c>
      <c r="AK60" s="0" t="n">
        <f aca="false">CEILING(C60/AH60,1)</f>
        <v>1</v>
      </c>
      <c r="AL60" s="0" t="n">
        <f aca="false">(1+Assumptions!$B$26)/POWER(1+Assumptions!$B$2,AH60)</f>
        <v>0.906135810905202</v>
      </c>
      <c r="AM60" s="0" t="n">
        <f aca="false">IF(ABS(1-AL60)&lt;0.000000000001,AK60,(1-POWER(AL60,AK60))/(1-AL60))</f>
        <v>1</v>
      </c>
      <c r="AN60" s="0" t="n">
        <f aca="false">1/POWER(1+Assumptions!$B$2,AH60)</f>
        <v>0.871284433562695</v>
      </c>
      <c r="AO60" s="0" t="n">
        <f aca="false">IF(ABS(1-AN60)&lt;0.000000000001,AK60,AN60*(1-POWER(AN60,AK60))/(1-AN60))</f>
        <v>0.871284433562695</v>
      </c>
      <c r="AP60" s="1" t="n">
        <f aca="false">AJ60*AM60+Assumptions!$B$28*AO60+(-PV(Assumptions!$B$2,C60,R60+T60+AI60))</f>
        <v>24811.6057054707</v>
      </c>
      <c r="AQ60" s="0" t="n">
        <f aca="false">N60*(1+Assumptions!$B$8)</f>
        <v>20390.895</v>
      </c>
      <c r="AR60" s="1" t="n">
        <f aca="false">PMT(Assumptions!$B$5,Assumptions!$B$29,-AQ60)</f>
        <v>629.518413900753</v>
      </c>
      <c r="AS60" s="0" t="n">
        <f aca="false">MAX(0,AD60-H60)</f>
        <v>0</v>
      </c>
      <c r="AT60" s="0" t="n">
        <f aca="false">MIN(Assumptions!$B$29,AS60)</f>
        <v>0</v>
      </c>
      <c r="AU60" s="1" t="n">
        <f aca="false">IF(AS60&gt;=Assumptions!$B$29,0,-PV(Assumptions!$B$5,Assumptions!$B$29-AS60,AR60))</f>
        <v>20390.8949999999</v>
      </c>
      <c r="AV60" s="1" t="n">
        <f aca="false">(-PV(Assumptions!$B$3,AT60,AR60))/POWER(1+Assumptions!$B$2,AH60)</f>
        <v>0</v>
      </c>
      <c r="AW60" s="1" t="n">
        <f aca="false">-PV(Assumptions!$B$2,AH60,T60+AI60)</f>
        <v>5318.41766002654</v>
      </c>
      <c r="AX60" s="1" t="n">
        <f aca="false">(-PV(Assumptions!$B$2,C60,S60))-(-PV(Assumptions!$B$2,AH60,S60))</f>
        <v>0</v>
      </c>
      <c r="AY60" s="1" t="n">
        <f aca="false">AJ60+AW60+AX60+(-PV(Assumptions!$B$2,C60,R60))+X60-(W60/POWER(1+Assumptions!$B$2,C60))</f>
        <v>2310.7119026657</v>
      </c>
      <c r="AZ60" s="1" t="n">
        <f aca="false">AY60+AV60+(AU60/POWER(1+Assumptions!$B$2,C60))</f>
        <v>20076.981302577</v>
      </c>
      <c r="BA60" s="0" t="n">
        <f aca="false">AQ60/POWER(1+Assumptions!$B$2,AH60)</f>
        <v>17766.2693999114</v>
      </c>
      <c r="BB60" s="1" t="n">
        <f aca="false">AY60+BA60</f>
        <v>20076.9813025771</v>
      </c>
      <c r="BC60" s="1" t="n">
        <f aca="false">AJ60+Assumptions!$B$28/POWER(1+Assumptions!$B$2,AH60)+(-PV(Assumptions!$B$2,AH60,R60+T60+AI60))</f>
        <v>24811.6057054707</v>
      </c>
      <c r="BD60" s="1" t="n">
        <f aca="false">MIN(Z60,AG60,AZ60)</f>
        <v>20076.981302577</v>
      </c>
      <c r="BE60" s="0" t="str">
        <f aca="false">IF(BD60=Z60,"Cash",IF(BD60=AG60,"Loan","Lease then buy out"))</f>
        <v>Lease then buy out</v>
      </c>
    </row>
    <row r="61" customFormat="false" ht="15" hidden="false" customHeight="false" outlineLevel="0" collapsed="false">
      <c r="A61" s="0" t="s">
        <v>103</v>
      </c>
      <c r="B61" s="0" t="s">
        <v>122</v>
      </c>
      <c r="C61" s="0" t="n">
        <v>3</v>
      </c>
      <c r="D61" s="0" t="n">
        <v>0</v>
      </c>
      <c r="E61" s="0" t="n">
        <v>42435</v>
      </c>
      <c r="F61" s="0" t="n">
        <v>3038</v>
      </c>
      <c r="G61" s="0" t="n">
        <v>538</v>
      </c>
      <c r="H61" s="0" t="n">
        <v>36</v>
      </c>
      <c r="I61" s="0" t="n">
        <v>21</v>
      </c>
      <c r="J61" s="0" t="n">
        <v>15190</v>
      </c>
      <c r="K61" s="0" t="s">
        <v>99</v>
      </c>
      <c r="L61" s="0" t="n">
        <v>180.9</v>
      </c>
      <c r="M61" s="0" t="n">
        <f aca="false">MAX(Assumptions!$B$33,Assumptions!$B$30-Assumptions!$B$31*(H61-36)-IF(D61=1,Assumptions!$B$32,0))</f>
        <v>0.57</v>
      </c>
      <c r="N61" s="0" t="n">
        <f aca="false">E61*M61</f>
        <v>24187.95</v>
      </c>
      <c r="O61" s="0" t="n">
        <f aca="false">1-POWER(J61/E61,0.1)</f>
        <v>0.0976326838335125</v>
      </c>
      <c r="P61" s="0" t="n">
        <f aca="false">E61*(1+Assumptions!$B$8)+Assumptions!$B$9</f>
        <v>44956.75</v>
      </c>
      <c r="Q61" s="0" t="n">
        <f aca="false">IF(D61=1,Assumptions!$B$14*33.7,Assumptions!$B$13)</f>
        <v>3.1</v>
      </c>
      <c r="R61" s="0" t="n">
        <f aca="false">(Assumptions!$B$10/I61)*Q61</f>
        <v>1476.19047619048</v>
      </c>
      <c r="S61" s="0" t="n">
        <f aca="false">Assumptions!$B$15+Assumptions!$B$17</f>
        <v>1750</v>
      </c>
      <c r="T61" s="0" t="n">
        <f aca="false">Assumptions!$B$15*(1+Assumptions!$B$16)+Assumptions!$B$17</f>
        <v>1942</v>
      </c>
      <c r="U61" s="0" t="n">
        <f aca="false">IF(OR(C61&gt;Assumptions!$B$11,Assumptions!$B$10*C61&gt;Assumptions!$B$12),1,0)</f>
        <v>0</v>
      </c>
      <c r="V61" s="0" t="n">
        <f aca="false">MAX(0.6,1-Assumptions!$B$22*MAX(0,(Assumptions!$B$10-10000)*C61)/10000)</f>
        <v>1</v>
      </c>
      <c r="W61" s="0" t="n">
        <f aca="false">IF(U61=1,Assumptions!$B$23,MAX(Assumptions!$B$23,E61*POWER(1-O61,C61)*V61))</f>
        <v>31179.8683192752</v>
      </c>
      <c r="X61" s="0" t="n">
        <f aca="true">SUMPRODUCT((ROW(INDIRECT("1:"&amp;C61))&gt;Assumptions!$B$20)*Assumptions!$B$18*POWER(Assumptions!$B$19,ROW(INDIRECT("1:"&amp;C61))-Assumptions!$B$20-1)*IF(ROW(INDIRECT("1:"&amp;C61))&gt;Assumptions!$B$11,Assumptions!$B$21,1)/POWER(1+Assumptions!$B$2,ROW(INDIRECT("1:"&amp;C61))))</f>
        <v>0</v>
      </c>
      <c r="Y61" s="1" t="n">
        <f aca="false">-PV(Assumptions!$B$2,C61,R61+S61)+X61</f>
        <v>8835.33903356378</v>
      </c>
      <c r="Z61" s="1" t="n">
        <f aca="false">P61+Y61-(W61/POWER(1+Assumptions!$B$2,C61))</f>
        <v>26625.5551264447</v>
      </c>
      <c r="AA61" s="0" t="n">
        <f aca="false">P61*Assumptions!$B$7</f>
        <v>4495.675</v>
      </c>
      <c r="AB61" s="0" t="n">
        <f aca="false">P61-AA61</f>
        <v>40461.075</v>
      </c>
      <c r="AC61" s="1" t="n">
        <f aca="false">PMT(Assumptions!$B$5,Assumptions!$B$6,-AB61)</f>
        <v>800.986896942404</v>
      </c>
      <c r="AD61" s="0" t="n">
        <f aca="false">C61*12</f>
        <v>36</v>
      </c>
      <c r="AE61" s="0" t="n">
        <f aca="false">MIN(Assumptions!$B$6,AD61)</f>
        <v>36</v>
      </c>
      <c r="AF61" s="1" t="n">
        <f aca="false">IF(AD61&gt;=Assumptions!$B$6,0,-PV(Assumptions!$B$5,Assumptions!$B$6-AD61,AC61))</f>
        <v>17891.9334574945</v>
      </c>
      <c r="AG61" s="1" t="n">
        <f aca="false">AA61+(-PV(Assumptions!$B$3,AE61,AC61))+Y61-((W61-AF61)/POWER(1+Assumptions!$B$2,C61))</f>
        <v>28599.415800533</v>
      </c>
      <c r="AH61" s="0" t="n">
        <f aca="false">H61/12</f>
        <v>3</v>
      </c>
      <c r="AI61" s="0" t="n">
        <f aca="false">MAX(0,Assumptions!$B$10-Assumptions!$B$24)*Assumptions!$B$25</f>
        <v>0</v>
      </c>
      <c r="AJ61" s="1" t="n">
        <f aca="false">F61+Assumptions!$B$27+(-PV(Assumptions!$B$3,H61-1,G61))</f>
        <v>21302.2963478043</v>
      </c>
      <c r="AK61" s="0" t="n">
        <f aca="false">CEILING(C61/AH61,1)</f>
        <v>1</v>
      </c>
      <c r="AL61" s="0" t="n">
        <f aca="false">(1+Assumptions!$B$26)/POWER(1+Assumptions!$B$2,AH61)</f>
        <v>0.906135810905202</v>
      </c>
      <c r="AM61" s="0" t="n">
        <f aca="false">IF(ABS(1-AL61)&lt;0.000000000001,AK61,(1-POWER(AL61,AK61))/(1-AL61))</f>
        <v>1</v>
      </c>
      <c r="AN61" s="0" t="n">
        <f aca="false">1/POWER(1+Assumptions!$B$2,AH61)</f>
        <v>0.871284433562695</v>
      </c>
      <c r="AO61" s="0" t="n">
        <f aca="false">IF(ABS(1-AN61)&lt;0.000000000001,AK61,AN61*(1-POWER(AN61,AK61))/(1-AN61))</f>
        <v>0.871284433562695</v>
      </c>
      <c r="AP61" s="1" t="n">
        <f aca="false">AJ61*AM61+Assumptions!$B$28*AO61+(-PV(Assumptions!$B$2,C61,R61+T61+AI61))</f>
        <v>31011.9659368349</v>
      </c>
      <c r="AQ61" s="0" t="n">
        <f aca="false">N61*(1+Assumptions!$B$8)</f>
        <v>25397.3475</v>
      </c>
      <c r="AR61" s="1" t="n">
        <f aca="false">PMT(Assumptions!$B$5,Assumptions!$B$29,-AQ61)</f>
        <v>784.080243436409</v>
      </c>
      <c r="AS61" s="0" t="n">
        <f aca="false">MAX(0,AD61-H61)</f>
        <v>0</v>
      </c>
      <c r="AT61" s="0" t="n">
        <f aca="false">MIN(Assumptions!$B$29,AS61)</f>
        <v>0</v>
      </c>
      <c r="AU61" s="1" t="n">
        <f aca="false">IF(AS61&gt;=Assumptions!$B$29,0,-PV(Assumptions!$B$5,Assumptions!$B$29-AS61,AR61))</f>
        <v>25397.3474999999</v>
      </c>
      <c r="AV61" s="1" t="n">
        <f aca="false">(-PV(Assumptions!$B$3,AT61,AR61))/POWER(1+Assumptions!$B$2,AH61)</f>
        <v>0</v>
      </c>
      <c r="AW61" s="1" t="n">
        <f aca="false">-PV(Assumptions!$B$2,AH61,T61+AI61)</f>
        <v>5318.41766002654</v>
      </c>
      <c r="AX61" s="1" t="n">
        <f aca="false">(-PV(Assumptions!$B$2,C61,S61))-(-PV(Assumptions!$B$2,AH61,S61))</f>
        <v>0</v>
      </c>
      <c r="AY61" s="1" t="n">
        <f aca="false">AJ61+AW61+AX61+(-PV(Assumptions!$B$2,C61,R61))+X61-(W61/POWER(1+Assumptions!$B$2,C61))</f>
        <v>3496.91825629078</v>
      </c>
      <c r="AZ61" s="1" t="n">
        <f aca="false">AY61+AV61+(AU61/POWER(1+Assumptions!$B$2,C61))</f>
        <v>25625.2317868231</v>
      </c>
      <c r="BA61" s="0" t="n">
        <f aca="false">AQ61/POWER(1+Assumptions!$B$2,AH61)</f>
        <v>22128.3135305324</v>
      </c>
      <c r="BB61" s="1" t="n">
        <f aca="false">AY61+BA61</f>
        <v>25625.2317868232</v>
      </c>
      <c r="BC61" s="1" t="n">
        <f aca="false">AJ61+Assumptions!$B$28/POWER(1+Assumptions!$B$2,AH61)+(-PV(Assumptions!$B$2,AH61,R61+T61+AI61))</f>
        <v>31011.9659368349</v>
      </c>
      <c r="BD61" s="1" t="n">
        <f aca="false">MIN(Z61,AG61,AZ61)</f>
        <v>25625.2317868231</v>
      </c>
      <c r="BE61" s="0" t="str">
        <f aca="false">IF(BD61=Z61,"Cash",IF(BD61=AG61,"Loan","Lease then buy out"))</f>
        <v>Lease then buy out</v>
      </c>
    </row>
    <row r="62" customFormat="false" ht="15" hidden="false" customHeight="false" outlineLevel="0" collapsed="false">
      <c r="A62" s="0" t="s">
        <v>46</v>
      </c>
      <c r="B62" s="0" t="s">
        <v>123</v>
      </c>
      <c r="C62" s="0" t="n">
        <v>3</v>
      </c>
      <c r="D62" s="0" t="n">
        <v>0</v>
      </c>
      <c r="E62" s="0" t="n">
        <v>39672</v>
      </c>
      <c r="F62" s="0" t="n">
        <v>3034</v>
      </c>
      <c r="G62" s="0" t="n">
        <v>534</v>
      </c>
      <c r="H62" s="0" t="n">
        <v>36</v>
      </c>
      <c r="I62" s="0" t="n">
        <v>22</v>
      </c>
      <c r="J62" s="0" t="n">
        <v>11226</v>
      </c>
      <c r="K62" s="0" t="s">
        <v>99</v>
      </c>
      <c r="L62" s="0" t="n">
        <v>193.8</v>
      </c>
      <c r="M62" s="0" t="n">
        <f aca="false">MAX(Assumptions!$B$33,Assumptions!$B$30-Assumptions!$B$31*(H62-36)-IF(D62=1,Assumptions!$B$32,0))</f>
        <v>0.57</v>
      </c>
      <c r="N62" s="0" t="n">
        <f aca="false">E62*M62</f>
        <v>22613.04</v>
      </c>
      <c r="O62" s="0" t="n">
        <f aca="false">1-POWER(J62/E62,0.1)</f>
        <v>0.118597872908143</v>
      </c>
      <c r="P62" s="0" t="n">
        <f aca="false">E62*(1+Assumptions!$B$8)+Assumptions!$B$9</f>
        <v>42055.6</v>
      </c>
      <c r="Q62" s="0" t="n">
        <f aca="false">IF(D62=1,Assumptions!$B$14*33.7,Assumptions!$B$13)</f>
        <v>3.1</v>
      </c>
      <c r="R62" s="0" t="n">
        <f aca="false">(Assumptions!$B$10/I62)*Q62</f>
        <v>1409.09090909091</v>
      </c>
      <c r="S62" s="0" t="n">
        <f aca="false">Assumptions!$B$15+Assumptions!$B$17</f>
        <v>1750</v>
      </c>
      <c r="T62" s="0" t="n">
        <f aca="false">Assumptions!$B$15*(1+Assumptions!$B$16)+Assumptions!$B$17</f>
        <v>1942</v>
      </c>
      <c r="U62" s="0" t="n">
        <f aca="false">IF(OR(C62&gt;Assumptions!$B$11,Assumptions!$B$10*C62&gt;Assumptions!$B$12),1,0)</f>
        <v>0</v>
      </c>
      <c r="V62" s="0" t="n">
        <f aca="false">MAX(0.6,1-Assumptions!$B$22*MAX(0,(Assumptions!$B$10-10000)*C62)/10000)</f>
        <v>1</v>
      </c>
      <c r="W62" s="0" t="n">
        <f aca="false">IF(U62=1,Assumptions!$B$23,MAX(Assumptions!$B$23,E62*POWER(1-O62,C62)*V62))</f>
        <v>27164.7916284965</v>
      </c>
      <c r="X62" s="0" t="n">
        <f aca="true">SUMPRODUCT((ROW(INDIRECT("1:"&amp;C62))&gt;Assumptions!$B$20)*Assumptions!$B$18*POWER(Assumptions!$B$19,ROW(INDIRECT("1:"&amp;C62))-Assumptions!$B$20-1)*IF(ROW(INDIRECT("1:"&amp;C62))&gt;Assumptions!$B$11,Assumptions!$B$21,1)/POWER(1+Assumptions!$B$2,ROW(INDIRECT("1:"&amp;C62))))</f>
        <v>0</v>
      </c>
      <c r="Y62" s="1" t="n">
        <f aca="false">-PV(Assumptions!$B$2,C62,R62+S62)+X62</f>
        <v>8651.57820831019</v>
      </c>
      <c r="Z62" s="1" t="n">
        <f aca="false">P62+Y62-(W62/POWER(1+Assumptions!$B$2,C62))</f>
        <v>27038.918121427</v>
      </c>
      <c r="AA62" s="0" t="n">
        <f aca="false">P62*Assumptions!$B$7</f>
        <v>4205.56</v>
      </c>
      <c r="AB62" s="0" t="n">
        <f aca="false">P62-AA62</f>
        <v>37850.04</v>
      </c>
      <c r="AC62" s="1" t="n">
        <f aca="false">PMT(Assumptions!$B$5,Assumptions!$B$6,-AB62)</f>
        <v>749.297592531733</v>
      </c>
      <c r="AD62" s="0" t="n">
        <f aca="false">C62*12</f>
        <v>36</v>
      </c>
      <c r="AE62" s="0" t="n">
        <f aca="false">MIN(Assumptions!$B$6,AD62)</f>
        <v>36</v>
      </c>
      <c r="AF62" s="1" t="n">
        <f aca="false">IF(AD62&gt;=Assumptions!$B$6,0,-PV(Assumptions!$B$5,Assumptions!$B$6-AD62,AC62))</f>
        <v>16737.3308060526</v>
      </c>
      <c r="AG62" s="1" t="n">
        <f aca="false">AA62+(-PV(Assumptions!$B$3,AE62,AC62))+Y62-((W62-AF62)/POWER(1+Assumptions!$B$2,C62))</f>
        <v>28885.4015741941</v>
      </c>
      <c r="AH62" s="0" t="n">
        <f aca="false">H62/12</f>
        <v>3</v>
      </c>
      <c r="AI62" s="0" t="n">
        <f aca="false">MAX(0,Assumptions!$B$10-Assumptions!$B$24)*Assumptions!$B$25</f>
        <v>0</v>
      </c>
      <c r="AJ62" s="1" t="n">
        <f aca="false">F62+Assumptions!$B$27+(-PV(Assumptions!$B$3,H62-1,G62))</f>
        <v>21167.7067838801</v>
      </c>
      <c r="AK62" s="0" t="n">
        <f aca="false">CEILING(C62/AH62,1)</f>
        <v>1</v>
      </c>
      <c r="AL62" s="0" t="n">
        <f aca="false">(1+Assumptions!$B$26)/POWER(1+Assumptions!$B$2,AH62)</f>
        <v>0.906135810905202</v>
      </c>
      <c r="AM62" s="0" t="n">
        <f aca="false">IF(ABS(1-AL62)&lt;0.000000000001,AK62,(1-POWER(AL62,AK62))/(1-AL62))</f>
        <v>1</v>
      </c>
      <c r="AN62" s="0" t="n">
        <f aca="false">1/POWER(1+Assumptions!$B$2,AH62)</f>
        <v>0.871284433562695</v>
      </c>
      <c r="AO62" s="0" t="n">
        <f aca="false">IF(ABS(1-AN62)&lt;0.000000000001,AK62,AN62*(1-POWER(AN62,AK62))/(1-AN62))</f>
        <v>0.871284433562695</v>
      </c>
      <c r="AP62" s="1" t="n">
        <f aca="false">AJ62*AM62+Assumptions!$B$28*AO62+(-PV(Assumptions!$B$2,C62,R62+T62+AI62))</f>
        <v>30693.6155476571</v>
      </c>
      <c r="AQ62" s="0" t="n">
        <f aca="false">N62*(1+Assumptions!$B$8)</f>
        <v>23743.692</v>
      </c>
      <c r="AR62" s="1" t="n">
        <f aca="false">PMT(Assumptions!$B$5,Assumptions!$B$29,-AQ62)</f>
        <v>733.027722813932</v>
      </c>
      <c r="AS62" s="0" t="n">
        <f aca="false">MAX(0,AD62-H62)</f>
        <v>0</v>
      </c>
      <c r="AT62" s="0" t="n">
        <f aca="false">MIN(Assumptions!$B$29,AS62)</f>
        <v>0</v>
      </c>
      <c r="AU62" s="1" t="n">
        <f aca="false">IF(AS62&gt;=Assumptions!$B$29,0,-PV(Assumptions!$B$5,Assumptions!$B$29-AS62,AR62))</f>
        <v>23743.6919999999</v>
      </c>
      <c r="AV62" s="1" t="n">
        <f aca="false">(-PV(Assumptions!$B$3,AT62,AR62))/POWER(1+Assumptions!$B$2,AH62)</f>
        <v>0</v>
      </c>
      <c r="AW62" s="1" t="n">
        <f aca="false">-PV(Assumptions!$B$2,AH62,T62+AI62)</f>
        <v>5318.41766002654</v>
      </c>
      <c r="AX62" s="1" t="n">
        <f aca="false">(-PV(Assumptions!$B$2,C62,S62))-(-PV(Assumptions!$B$2,AH62,S62))</f>
        <v>0</v>
      </c>
      <c r="AY62" s="1" t="n">
        <f aca="false">AJ62+AW62+AX62+(-PV(Assumptions!$B$2,C62,R62))+X62-(W62/POWER(1+Assumptions!$B$2,C62))</f>
        <v>6676.84168734887</v>
      </c>
      <c r="AZ62" s="1" t="n">
        <f aca="false">AY62+AV62+(AU62/POWER(1+Assumptions!$B$2,C62))</f>
        <v>27364.3509222558</v>
      </c>
      <c r="BA62" s="0" t="n">
        <f aca="false">AQ62/POWER(1+Assumptions!$B$2,AH62)</f>
        <v>20687.5092349071</v>
      </c>
      <c r="BB62" s="1" t="n">
        <f aca="false">AY62+BA62</f>
        <v>27364.3509222559</v>
      </c>
      <c r="BC62" s="1" t="n">
        <f aca="false">AJ62+Assumptions!$B$28/POWER(1+Assumptions!$B$2,AH62)+(-PV(Assumptions!$B$2,AH62,R62+T62+AI62))</f>
        <v>30693.6155476571</v>
      </c>
      <c r="BD62" s="1" t="n">
        <f aca="false">MIN(Z62,AG62,AZ62)</f>
        <v>27038.918121427</v>
      </c>
      <c r="BE62" s="0" t="str">
        <f aca="false">IF(BD62=Z62,"Cash",IF(BD62=AG62,"Loan","Lease then buy out"))</f>
        <v>Cash</v>
      </c>
    </row>
    <row r="63" customFormat="false" ht="15" hidden="false" customHeight="false" outlineLevel="0" collapsed="false">
      <c r="A63" s="0" t="s">
        <v>82</v>
      </c>
      <c r="B63" s="0" t="s">
        <v>124</v>
      </c>
      <c r="C63" s="0" t="n">
        <v>3</v>
      </c>
      <c r="D63" s="0" t="n">
        <v>0</v>
      </c>
      <c r="E63" s="0" t="n">
        <v>44500</v>
      </c>
      <c r="F63" s="0" t="n">
        <v>4639</v>
      </c>
      <c r="G63" s="0" t="n">
        <v>589</v>
      </c>
      <c r="H63" s="0" t="n">
        <v>36</v>
      </c>
      <c r="I63" s="0" t="n">
        <v>32</v>
      </c>
      <c r="J63" s="0" t="n">
        <v>13595</v>
      </c>
      <c r="K63" s="0" t="s">
        <v>107</v>
      </c>
      <c r="L63" s="0" t="n">
        <v>118</v>
      </c>
      <c r="M63" s="0" t="n">
        <f aca="false">MAX(Assumptions!$B$33,Assumptions!$B$30-Assumptions!$B$31*(H63-36)-IF(D63=1,Assumptions!$B$32,0))</f>
        <v>0.57</v>
      </c>
      <c r="N63" s="0" t="n">
        <f aca="false">E63*M63</f>
        <v>25365</v>
      </c>
      <c r="O63" s="0" t="n">
        <f aca="false">1-POWER(J63/E63,0.1)</f>
        <v>0.111818096876996</v>
      </c>
      <c r="P63" s="0" t="n">
        <f aca="false">E63*(1+Assumptions!$B$8)+Assumptions!$B$9</f>
        <v>47125</v>
      </c>
      <c r="Q63" s="0" t="n">
        <f aca="false">IF(D63=1,Assumptions!$B$14*33.7,Assumptions!$B$13)</f>
        <v>3.1</v>
      </c>
      <c r="R63" s="0" t="n">
        <f aca="false">(Assumptions!$B$10/I63)*Q63</f>
        <v>968.75</v>
      </c>
      <c r="S63" s="0" t="n">
        <f aca="false">Assumptions!$B$15+Assumptions!$B$17</f>
        <v>1750</v>
      </c>
      <c r="T63" s="0" t="n">
        <f aca="false">Assumptions!$B$15*(1+Assumptions!$B$16)+Assumptions!$B$17</f>
        <v>1942</v>
      </c>
      <c r="U63" s="0" t="n">
        <f aca="false">IF(OR(C63&gt;Assumptions!$B$11,Assumptions!$B$10*C63&gt;Assumptions!$B$12),1,0)</f>
        <v>0</v>
      </c>
      <c r="V63" s="0" t="n">
        <f aca="false">MAX(0.6,1-Assumptions!$B$22*MAX(0,(Assumptions!$B$10-10000)*C63)/10000)</f>
        <v>1</v>
      </c>
      <c r="W63" s="0" t="n">
        <f aca="false">IF(U63=1,Assumptions!$B$23,MAX(Assumptions!$B$23,E63*POWER(1-O63,C63)*V63))</f>
        <v>31179.2576821387</v>
      </c>
      <c r="X63" s="0" t="n">
        <f aca="true">SUMPRODUCT((ROW(INDIRECT("1:"&amp;C63))&gt;Assumptions!$B$20)*Assumptions!$B$18*POWER(Assumptions!$B$19,ROW(INDIRECT("1:"&amp;C63))-Assumptions!$B$20-1)*IF(ROW(INDIRECT("1:"&amp;C63))&gt;Assumptions!$B$11,Assumptions!$B$21,1)/POWER(1+Assumptions!$B$2,ROW(INDIRECT("1:"&amp;C63))))</f>
        <v>0</v>
      </c>
      <c r="Y63" s="1" t="n">
        <f aca="false">-PV(Assumptions!$B$2,C63,R63+S63)+X63</f>
        <v>7445.6477925835</v>
      </c>
      <c r="Z63" s="1" t="n">
        <f aca="false">P63+Y63-(W63/POWER(1+Assumptions!$B$2,C63))</f>
        <v>27404.645924096</v>
      </c>
      <c r="AA63" s="0" t="n">
        <f aca="false">P63*Assumptions!$B$7</f>
        <v>4712.5</v>
      </c>
      <c r="AB63" s="0" t="n">
        <f aca="false">P63-AA63</f>
        <v>42412.5</v>
      </c>
      <c r="AC63" s="1" t="n">
        <f aca="false">PMT(Assumptions!$B$5,Assumptions!$B$6,-AB63)</f>
        <v>839.618244610894</v>
      </c>
      <c r="AD63" s="0" t="n">
        <f aca="false">C63*12</f>
        <v>36</v>
      </c>
      <c r="AE63" s="0" t="n">
        <f aca="false">MIN(Assumptions!$B$6,AD63)</f>
        <v>36</v>
      </c>
      <c r="AF63" s="1" t="n">
        <f aca="false">IF(AD63&gt;=Assumptions!$B$6,0,-PV(Assumptions!$B$5,Assumptions!$B$6-AD63,AC63))</f>
        <v>18754.8558155211</v>
      </c>
      <c r="AG63" s="1" t="n">
        <f aca="false">AA63+(-PV(Assumptions!$B$3,AE63,AC63))+Y63-((W63-AF63)/POWER(1+Assumptions!$B$2,C63))</f>
        <v>29473.7052815097</v>
      </c>
      <c r="AH63" s="0" t="n">
        <f aca="false">H63/12</f>
        <v>3</v>
      </c>
      <c r="AI63" s="0" t="n">
        <f aca="false">MAX(0,Assumptions!$B$10-Assumptions!$B$24)*Assumptions!$B$25</f>
        <v>0</v>
      </c>
      <c r="AJ63" s="1" t="n">
        <f aca="false">F63+Assumptions!$B$27+(-PV(Assumptions!$B$3,H63-1,G63))</f>
        <v>24568.3132878378</v>
      </c>
      <c r="AK63" s="0" t="n">
        <f aca="false">CEILING(C63/AH63,1)</f>
        <v>1</v>
      </c>
      <c r="AL63" s="0" t="n">
        <f aca="false">(1+Assumptions!$B$26)/POWER(1+Assumptions!$B$2,AH63)</f>
        <v>0.906135810905202</v>
      </c>
      <c r="AM63" s="0" t="n">
        <f aca="false">IF(ABS(1-AL63)&lt;0.000000000001,AK63,(1-POWER(AL63,AK63))/(1-AL63))</f>
        <v>1</v>
      </c>
      <c r="AN63" s="0" t="n">
        <f aca="false">1/POWER(1+Assumptions!$B$2,AH63)</f>
        <v>0.871284433562695</v>
      </c>
      <c r="AO63" s="0" t="n">
        <f aca="false">IF(ABS(1-AN63)&lt;0.000000000001,AK63,AN63*(1-POWER(AN63,AK63))/(1-AN63))</f>
        <v>0.871284433562695</v>
      </c>
      <c r="AP63" s="1" t="n">
        <f aca="false">AJ63*AM63+Assumptions!$B$28*AO63+(-PV(Assumptions!$B$2,C63,R63+T63+AI63))</f>
        <v>32888.2916358881</v>
      </c>
      <c r="AQ63" s="0" t="n">
        <f aca="false">N63*(1+Assumptions!$B$8)</f>
        <v>26633.25</v>
      </c>
      <c r="AR63" s="1" t="n">
        <f aca="false">PMT(Assumptions!$B$5,Assumptions!$B$29,-AQ63)</f>
        <v>822.2356741586</v>
      </c>
      <c r="AS63" s="0" t="n">
        <f aca="false">MAX(0,AD63-H63)</f>
        <v>0</v>
      </c>
      <c r="AT63" s="0" t="n">
        <f aca="false">MIN(Assumptions!$B$29,AS63)</f>
        <v>0</v>
      </c>
      <c r="AU63" s="1" t="n">
        <f aca="false">IF(AS63&gt;=Assumptions!$B$29,0,-PV(Assumptions!$B$5,Assumptions!$B$29-AS63,AR63))</f>
        <v>26633.2499999999</v>
      </c>
      <c r="AV63" s="1" t="n">
        <f aca="false">(-PV(Assumptions!$B$3,AT63,AR63))/POWER(1+Assumptions!$B$2,AH63)</f>
        <v>0</v>
      </c>
      <c r="AW63" s="1" t="n">
        <f aca="false">-PV(Assumptions!$B$2,AH63,T63+AI63)</f>
        <v>5318.41766002654</v>
      </c>
      <c r="AX63" s="1" t="n">
        <f aca="false">(-PV(Assumptions!$B$2,C63,S63))-(-PV(Assumptions!$B$2,AH63,S63))</f>
        <v>0</v>
      </c>
      <c r="AY63" s="1" t="n">
        <f aca="false">AJ63+AW63+AX63+(-PV(Assumptions!$B$2,C63,R63))+X63-(W63/POWER(1+Assumptions!$B$2,C63))</f>
        <v>5373.77599397551</v>
      </c>
      <c r="AZ63" s="1" t="n">
        <f aca="false">AY63+AV63+(AU63/POWER(1+Assumptions!$B$2,C63))</f>
        <v>28578.912134159</v>
      </c>
      <c r="BA63" s="0" t="n">
        <f aca="false">AQ63/POWER(1+Assumptions!$B$2,AH63)</f>
        <v>23205.1361401836</v>
      </c>
      <c r="BB63" s="1" t="n">
        <f aca="false">AY63+BA63</f>
        <v>28578.9121341591</v>
      </c>
      <c r="BC63" s="1" t="n">
        <f aca="false">AJ63+Assumptions!$B$28/POWER(1+Assumptions!$B$2,AH63)+(-PV(Assumptions!$B$2,AH63,R63+T63+AI63))</f>
        <v>32888.2916358881</v>
      </c>
      <c r="BD63" s="1" t="n">
        <f aca="false">MIN(Z63,AG63,AZ63)</f>
        <v>27404.645924096</v>
      </c>
      <c r="BE63" s="0" t="str">
        <f aca="false">IF(BD63=Z63,"Cash",IF(BD63=AG63,"Loan","Lease then buy out"))</f>
        <v>Cash</v>
      </c>
    </row>
    <row r="64" customFormat="false" ht="15" hidden="false" customHeight="false" outlineLevel="0" collapsed="false">
      <c r="A64" s="0" t="s">
        <v>43</v>
      </c>
      <c r="B64" s="0" t="s">
        <v>125</v>
      </c>
      <c r="C64" s="0" t="n">
        <v>3</v>
      </c>
      <c r="D64" s="0" t="n">
        <v>0</v>
      </c>
      <c r="E64" s="0" t="n">
        <v>41866</v>
      </c>
      <c r="F64" s="0" t="n">
        <v>2984</v>
      </c>
      <c r="G64" s="0" t="n">
        <v>484</v>
      </c>
      <c r="H64" s="0" t="n">
        <v>36</v>
      </c>
      <c r="I64" s="0" t="n">
        <v>24</v>
      </c>
      <c r="J64" s="0" t="n">
        <v>14730</v>
      </c>
      <c r="K64" s="0" t="s">
        <v>99</v>
      </c>
      <c r="L64" s="0" t="n">
        <v>184</v>
      </c>
      <c r="M64" s="0" t="n">
        <f aca="false">MAX(Assumptions!$B$33,Assumptions!$B$30-Assumptions!$B$31*(H64-36)-IF(D64=1,Assumptions!$B$32,0))</f>
        <v>0.57</v>
      </c>
      <c r="N64" s="0" t="n">
        <f aca="false">E64*M64</f>
        <v>23863.62</v>
      </c>
      <c r="O64" s="0" t="n">
        <f aca="false">1-POWER(J64/E64,0.1)</f>
        <v>0.0991880728994194</v>
      </c>
      <c r="P64" s="0" t="n">
        <f aca="false">E64*(1+Assumptions!$B$8)+Assumptions!$B$9</f>
        <v>44359.3</v>
      </c>
      <c r="Q64" s="0" t="n">
        <f aca="false">IF(D64=1,Assumptions!$B$14*33.7,Assumptions!$B$13)</f>
        <v>3.1</v>
      </c>
      <c r="R64" s="0" t="n">
        <f aca="false">(Assumptions!$B$10/I64)*Q64</f>
        <v>1291.66666666667</v>
      </c>
      <c r="S64" s="0" t="n">
        <f aca="false">Assumptions!$B$15+Assumptions!$B$17</f>
        <v>1750</v>
      </c>
      <c r="T64" s="0" t="n">
        <f aca="false">Assumptions!$B$15*(1+Assumptions!$B$16)+Assumptions!$B$17</f>
        <v>1942</v>
      </c>
      <c r="U64" s="0" t="n">
        <f aca="false">IF(OR(C64&gt;Assumptions!$B$11,Assumptions!$B$10*C64&gt;Assumptions!$B$12),1,0)</f>
        <v>0</v>
      </c>
      <c r="V64" s="0" t="n">
        <f aca="false">MAX(0.6,1-Assumptions!$B$22*MAX(0,(Assumptions!$B$10-10000)*C64)/10000)</f>
        <v>1</v>
      </c>
      <c r="W64" s="0" t="n">
        <f aca="false">IF(U64=1,Assumptions!$B$23,MAX(Assumptions!$B$23,E64*POWER(1-O64,C64)*V64))</f>
        <v>30602.9894402684</v>
      </c>
      <c r="X64" s="0" t="n">
        <f aca="true">SUMPRODUCT((ROW(INDIRECT("1:"&amp;C64))&gt;Assumptions!$B$20)*Assumptions!$B$18*POWER(Assumptions!$B$19,ROW(INDIRECT("1:"&amp;C64))-Assumptions!$B$20-1)*IF(ROW(INDIRECT("1:"&amp;C64))&gt;Assumptions!$B$11,Assumptions!$B$21,1)/POWER(1+Assumptions!$B$2,ROW(INDIRECT("1:"&amp;C64))))</f>
        <v>0</v>
      </c>
      <c r="Y64" s="1" t="n">
        <f aca="false">-PV(Assumptions!$B$2,C64,R64+S64)+X64</f>
        <v>8329.99676411641</v>
      </c>
      <c r="Z64" s="1" t="n">
        <f aca="false">P64+Y64-(W64/POWER(1+Assumptions!$B$2,C64))</f>
        <v>26025.3884443271</v>
      </c>
      <c r="AA64" s="0" t="n">
        <f aca="false">P64*Assumptions!$B$7</f>
        <v>4435.93</v>
      </c>
      <c r="AB64" s="0" t="n">
        <f aca="false">P64-AA64</f>
        <v>39923.37</v>
      </c>
      <c r="AC64" s="1" t="n">
        <f aca="false">PMT(Assumptions!$B$5,Assumptions!$B$6,-AB64)</f>
        <v>790.342230199852</v>
      </c>
      <c r="AD64" s="0" t="n">
        <f aca="false">C64*12</f>
        <v>36</v>
      </c>
      <c r="AE64" s="0" t="n">
        <f aca="false">MIN(Assumptions!$B$6,AD64)</f>
        <v>36</v>
      </c>
      <c r="AF64" s="1" t="n">
        <f aca="false">IF(AD64&gt;=Assumptions!$B$6,0,-PV(Assumptions!$B$5,Assumptions!$B$6-AD64,AC64))</f>
        <v>17654.1596939511</v>
      </c>
      <c r="AG64" s="1" t="n">
        <f aca="false">AA64+(-PV(Assumptions!$B$3,AE64,AC64))+Y64-((W64-AF64)/POWER(1+Assumptions!$B$2,C64))</f>
        <v>27973.0176168114</v>
      </c>
      <c r="AH64" s="0" t="n">
        <f aca="false">H64/12</f>
        <v>3</v>
      </c>
      <c r="AI64" s="0" t="n">
        <f aca="false">MAX(0,Assumptions!$B$10-Assumptions!$B$24)*Assumptions!$B$25</f>
        <v>0</v>
      </c>
      <c r="AJ64" s="1" t="n">
        <f aca="false">F64+Assumptions!$B$27+(-PV(Assumptions!$B$3,H64-1,G64))</f>
        <v>19485.3372348277</v>
      </c>
      <c r="AK64" s="0" t="n">
        <f aca="false">CEILING(C64/AH64,1)</f>
        <v>1</v>
      </c>
      <c r="AL64" s="0" t="n">
        <f aca="false">(1+Assumptions!$B$26)/POWER(1+Assumptions!$B$2,AH64)</f>
        <v>0.906135810905202</v>
      </c>
      <c r="AM64" s="0" t="n">
        <f aca="false">IF(ABS(1-AL64)&lt;0.000000000001,AK64,(1-POWER(AL64,AK64))/(1-AL64))</f>
        <v>1</v>
      </c>
      <c r="AN64" s="0" t="n">
        <f aca="false">1/POWER(1+Assumptions!$B$2,AH64)</f>
        <v>0.871284433562695</v>
      </c>
      <c r="AO64" s="0" t="n">
        <f aca="false">IF(ABS(1-AN64)&lt;0.000000000001,AK64,AN64*(1-POWER(AN64,AK64))/(1-AN64))</f>
        <v>0.871284433562695</v>
      </c>
      <c r="AP64" s="1" t="n">
        <f aca="false">AJ64*AM64+Assumptions!$B$28*AO64+(-PV(Assumptions!$B$2,C64,R64+T64+AI64))</f>
        <v>28689.6645544109</v>
      </c>
      <c r="AQ64" s="0" t="n">
        <f aca="false">N64*(1+Assumptions!$B$8)</f>
        <v>25056.801</v>
      </c>
      <c r="AR64" s="1" t="n">
        <f aca="false">PMT(Assumptions!$B$5,Assumptions!$B$29,-AQ64)</f>
        <v>773.566713130875</v>
      </c>
      <c r="AS64" s="0" t="n">
        <f aca="false">MAX(0,AD64-H64)</f>
        <v>0</v>
      </c>
      <c r="AT64" s="0" t="n">
        <f aca="false">MIN(Assumptions!$B$29,AS64)</f>
        <v>0</v>
      </c>
      <c r="AU64" s="1" t="n">
        <f aca="false">IF(AS64&gt;=Assumptions!$B$29,0,-PV(Assumptions!$B$5,Assumptions!$B$29-AS64,AR64))</f>
        <v>25056.8009999999</v>
      </c>
      <c r="AV64" s="1" t="n">
        <f aca="false">(-PV(Assumptions!$B$3,AT64,AR64))/POWER(1+Assumptions!$B$2,AH64)</f>
        <v>0</v>
      </c>
      <c r="AW64" s="1" t="n">
        <f aca="false">-PV(Assumptions!$B$2,AH64,T64+AI64)</f>
        <v>5318.41766002654</v>
      </c>
      <c r="AX64" s="1" t="n">
        <f aca="false">(-PV(Assumptions!$B$2,C64,S64))-(-PV(Assumptions!$B$2,AH64,S64))</f>
        <v>0</v>
      </c>
      <c r="AY64" s="1" t="n">
        <f aca="false">AJ64+AW64+AX64+(-PV(Assumptions!$B$2,C64,R64))+X64-(W64/POWER(1+Assumptions!$B$2,C64))</f>
        <v>1677.24246119649</v>
      </c>
      <c r="AZ64" s="1" t="n">
        <f aca="false">AY64+AV64+(AU64/POWER(1+Assumptions!$B$2,C64))</f>
        <v>23508.8431273745</v>
      </c>
      <c r="BA64" s="0" t="n">
        <f aca="false">AQ64/POWER(1+Assumptions!$B$2,AH64)</f>
        <v>21831.6006661782</v>
      </c>
      <c r="BB64" s="1" t="n">
        <f aca="false">AY64+BA64</f>
        <v>23508.8431273746</v>
      </c>
      <c r="BC64" s="1" t="n">
        <f aca="false">AJ64+Assumptions!$B$28/POWER(1+Assumptions!$B$2,AH64)+(-PV(Assumptions!$B$2,AH64,R64+T64+AI64))</f>
        <v>28689.6645544109</v>
      </c>
      <c r="BD64" s="1" t="n">
        <f aca="false">MIN(Z64,AG64,AZ64)</f>
        <v>23508.8431273745</v>
      </c>
      <c r="BE64" s="0" t="str">
        <f aca="false">IF(BD64=Z64,"Cash",IF(BD64=AG64,"Loan","Lease then buy out"))</f>
        <v>Lease then buy out</v>
      </c>
    </row>
    <row r="65" customFormat="false" ht="15" hidden="false" customHeight="false" outlineLevel="0" collapsed="false">
      <c r="A65" s="0" t="s">
        <v>48</v>
      </c>
      <c r="B65" s="0" t="s">
        <v>126</v>
      </c>
      <c r="C65" s="0" t="n">
        <v>3</v>
      </c>
      <c r="D65" s="0" t="n">
        <v>0</v>
      </c>
      <c r="E65" s="0" t="n">
        <v>30030</v>
      </c>
      <c r="F65" s="0" t="n">
        <v>4659</v>
      </c>
      <c r="G65" s="0" t="n">
        <v>359</v>
      </c>
      <c r="H65" s="0" t="n">
        <v>36</v>
      </c>
      <c r="I65" s="0" t="n">
        <v>23</v>
      </c>
      <c r="J65" s="0" t="n">
        <v>13061</v>
      </c>
      <c r="K65" s="0" t="s">
        <v>127</v>
      </c>
      <c r="L65" s="0" t="n">
        <v>90.1</v>
      </c>
      <c r="M65" s="0" t="n">
        <f aca="false">MAX(Assumptions!$B$33,Assumptions!$B$30-Assumptions!$B$31*(H65-36)-IF(D65=1,Assumptions!$B$32,0))</f>
        <v>0.57</v>
      </c>
      <c r="N65" s="0" t="n">
        <f aca="false">E65*M65</f>
        <v>17117.1</v>
      </c>
      <c r="O65" s="0" t="n">
        <f aca="false">1-POWER(J65/E65,0.1)</f>
        <v>0.0798850021982334</v>
      </c>
      <c r="P65" s="0" t="n">
        <f aca="false">E65*(1+Assumptions!$B$8)+Assumptions!$B$9</f>
        <v>31931.5</v>
      </c>
      <c r="Q65" s="0" t="n">
        <f aca="false">IF(D65=1,Assumptions!$B$14*33.7,Assumptions!$B$13)</f>
        <v>3.1</v>
      </c>
      <c r="R65" s="0" t="n">
        <f aca="false">(Assumptions!$B$10/I65)*Q65</f>
        <v>1347.82608695652</v>
      </c>
      <c r="S65" s="0" t="n">
        <f aca="false">Assumptions!$B$15+Assumptions!$B$17</f>
        <v>1750</v>
      </c>
      <c r="T65" s="0" t="n">
        <f aca="false">Assumptions!$B$15*(1+Assumptions!$B$16)+Assumptions!$B$17</f>
        <v>1942</v>
      </c>
      <c r="U65" s="0" t="n">
        <f aca="false">IF(OR(C65&gt;Assumptions!$B$11,Assumptions!$B$10*C65&gt;Assumptions!$B$12),1,0)</f>
        <v>0</v>
      </c>
      <c r="V65" s="0" t="n">
        <f aca="false">MAX(0.6,1-Assumptions!$B$22*MAX(0,(Assumptions!$B$10-10000)*C65)/10000)</f>
        <v>1</v>
      </c>
      <c r="W65" s="0" t="n">
        <f aca="false">IF(U65=1,Assumptions!$B$23,MAX(Assumptions!$B$23,E65*POWER(1-O65,C65)*V65))</f>
        <v>23392.7705687487</v>
      </c>
      <c r="X65" s="0" t="n">
        <f aca="true">SUMPRODUCT((ROW(INDIRECT("1:"&amp;C65))&gt;Assumptions!$B$20)*Assumptions!$B$18*POWER(Assumptions!$B$19,ROW(INDIRECT("1:"&amp;C65))-Assumptions!$B$20-1)*IF(ROW(INDIRECT("1:"&amp;C65))&gt;Assumptions!$B$11,Assumptions!$B$21,1)/POWER(1+Assumptions!$B$2,ROW(INDIRECT("1:"&amp;C65))))</f>
        <v>0</v>
      </c>
      <c r="Y65" s="1" t="n">
        <f aca="false">-PV(Assumptions!$B$2,C65,R65+S65)+X65</f>
        <v>8483.79658525256</v>
      </c>
      <c r="Z65" s="1" t="n">
        <f aca="false">P65+Y65-(W65/POWER(1+Assumptions!$B$2,C65))</f>
        <v>20033.5397307983</v>
      </c>
      <c r="AA65" s="0" t="n">
        <f aca="false">P65*Assumptions!$B$7</f>
        <v>3193.15</v>
      </c>
      <c r="AB65" s="0" t="n">
        <f aca="false">P65-AA65</f>
        <v>28738.35</v>
      </c>
      <c r="AC65" s="1" t="n">
        <f aca="false">PMT(Assumptions!$B$5,Assumptions!$B$6,-AB65)</f>
        <v>568.918195815231</v>
      </c>
      <c r="AD65" s="0" t="n">
        <f aca="false">C65*12</f>
        <v>36</v>
      </c>
      <c r="AE65" s="0" t="n">
        <f aca="false">MIN(Assumptions!$B$6,AD65)</f>
        <v>36</v>
      </c>
      <c r="AF65" s="1" t="n">
        <f aca="false">IF(AD65&gt;=Assumptions!$B$6,0,-PV(Assumptions!$B$5,Assumptions!$B$6-AD65,AC65))</f>
        <v>12708.131108187</v>
      </c>
      <c r="AG65" s="1" t="n">
        <f aca="false">AA65+(-PV(Assumptions!$B$3,AE65,AC65))+Y65-((W65-AF65)/POWER(1+Assumptions!$B$2,C65))</f>
        <v>21435.5167890742</v>
      </c>
      <c r="AH65" s="0" t="n">
        <f aca="false">H65/12</f>
        <v>3</v>
      </c>
      <c r="AI65" s="0" t="n">
        <f aca="false">MAX(0,Assumptions!$B$10-Assumptions!$B$24)*Assumptions!$B$25</f>
        <v>0</v>
      </c>
      <c r="AJ65" s="1" t="n">
        <f aca="false">F65+Assumptions!$B$27+(-PV(Assumptions!$B$3,H65-1,G65))</f>
        <v>17079.4133621965</v>
      </c>
      <c r="AK65" s="0" t="n">
        <f aca="false">CEILING(C65/AH65,1)</f>
        <v>1</v>
      </c>
      <c r="AL65" s="0" t="n">
        <f aca="false">(1+Assumptions!$B$26)/POWER(1+Assumptions!$B$2,AH65)</f>
        <v>0.906135810905202</v>
      </c>
      <c r="AM65" s="0" t="n">
        <f aca="false">IF(ABS(1-AL65)&lt;0.000000000001,AK65,(1-POWER(AL65,AK65))/(1-AL65))</f>
        <v>1</v>
      </c>
      <c r="AN65" s="0" t="n">
        <f aca="false">1/POWER(1+Assumptions!$B$2,AH65)</f>
        <v>0.871284433562695</v>
      </c>
      <c r="AO65" s="0" t="n">
        <f aca="false">IF(ABS(1-AN65)&lt;0.000000000001,AK65,AN65*(1-POWER(AN65,AK65))/(1-AN65))</f>
        <v>0.871284433562695</v>
      </c>
      <c r="AP65" s="1" t="n">
        <f aca="false">AJ65*AM65+Assumptions!$B$28*AO65+(-PV(Assumptions!$B$2,C65,R65+T65+AI65))</f>
        <v>26437.5405029159</v>
      </c>
      <c r="AQ65" s="0" t="n">
        <f aca="false">N65*(1+Assumptions!$B$8)</f>
        <v>17972.955</v>
      </c>
      <c r="AR65" s="1" t="n">
        <f aca="false">PMT(Assumptions!$B$5,Assumptions!$B$29,-AQ65)</f>
        <v>554.870501010848</v>
      </c>
      <c r="AS65" s="0" t="n">
        <f aca="false">MAX(0,AD65-H65)</f>
        <v>0</v>
      </c>
      <c r="AT65" s="0" t="n">
        <f aca="false">MIN(Assumptions!$B$29,AS65)</f>
        <v>0</v>
      </c>
      <c r="AU65" s="1" t="n">
        <f aca="false">IF(AS65&gt;=Assumptions!$B$29,0,-PV(Assumptions!$B$5,Assumptions!$B$29-AS65,AR65))</f>
        <v>17972.9549999999</v>
      </c>
      <c r="AV65" s="1" t="n">
        <f aca="false">(-PV(Assumptions!$B$3,AT65,AR65))/POWER(1+Assumptions!$B$2,AH65)</f>
        <v>0</v>
      </c>
      <c r="AW65" s="1" t="n">
        <f aca="false">-PV(Assumptions!$B$2,AH65,T65+AI65)</f>
        <v>5318.41766002654</v>
      </c>
      <c r="AX65" s="1" t="n">
        <f aca="false">(-PV(Assumptions!$B$2,C65,S65))-(-PV(Assumptions!$B$2,AH65,S65))</f>
        <v>0</v>
      </c>
      <c r="AY65" s="1" t="n">
        <f aca="false">AJ65+AW65+AX65+(-PV(Assumptions!$B$2,C65,R65))+X65-(W65/POWER(1+Assumptions!$B$2,C65))</f>
        <v>5707.26987503657</v>
      </c>
      <c r="AZ65" s="1" t="n">
        <f aca="false">AY65+AV65+(AU65/POWER(1+Assumptions!$B$2,C65))</f>
        <v>21366.8257916593</v>
      </c>
      <c r="BA65" s="0" t="n">
        <f aca="false">AQ65/POWER(1+Assumptions!$B$2,AH65)</f>
        <v>15659.5559166228</v>
      </c>
      <c r="BB65" s="1" t="n">
        <f aca="false">AY65+BA65</f>
        <v>21366.8257916594</v>
      </c>
      <c r="BC65" s="1" t="n">
        <f aca="false">AJ65+Assumptions!$B$28/POWER(1+Assumptions!$B$2,AH65)+(-PV(Assumptions!$B$2,AH65,R65+T65+AI65))</f>
        <v>26437.5405029159</v>
      </c>
      <c r="BD65" s="1" t="n">
        <f aca="false">MIN(Z65,AG65,AZ65)</f>
        <v>20033.5397307983</v>
      </c>
      <c r="BE65" s="0" t="str">
        <f aca="false">IF(BD65=Z65,"Cash",IF(BD65=AG65,"Loan","Lease then buy out"))</f>
        <v>Cash</v>
      </c>
    </row>
    <row r="66" customFormat="false" ht="15" hidden="false" customHeight="false" outlineLevel="0" collapsed="false">
      <c r="A66" s="0" t="s">
        <v>58</v>
      </c>
      <c r="B66" s="0" t="s">
        <v>128</v>
      </c>
      <c r="C66" s="0" t="n">
        <v>3</v>
      </c>
      <c r="D66" s="0" t="n">
        <v>0</v>
      </c>
      <c r="E66" s="0" t="n">
        <v>23500</v>
      </c>
      <c r="F66" s="0" t="n">
        <v>3269</v>
      </c>
      <c r="G66" s="0" t="n">
        <v>269</v>
      </c>
      <c r="H66" s="0" t="n">
        <v>39</v>
      </c>
      <c r="I66" s="0" t="n">
        <v>33</v>
      </c>
      <c r="J66" s="0" t="n">
        <v>10204</v>
      </c>
      <c r="K66" s="0" t="s">
        <v>99</v>
      </c>
      <c r="L66" s="0" t="n">
        <v>110.4</v>
      </c>
      <c r="M66" s="0" t="n">
        <f aca="false">MAX(Assumptions!$B$33,Assumptions!$B$30-Assumptions!$B$31*(H66-36)-IF(D66=1,Assumptions!$B$32,0))</f>
        <v>0.555</v>
      </c>
      <c r="N66" s="0" t="n">
        <f aca="false">E66*M66</f>
        <v>13042.5</v>
      </c>
      <c r="O66" s="0" t="n">
        <f aca="false">1-POWER(J66/E66,0.1)</f>
        <v>0.0800372161434033</v>
      </c>
      <c r="P66" s="0" t="n">
        <f aca="false">E66*(1+Assumptions!$B$8)+Assumptions!$B$9</f>
        <v>25075</v>
      </c>
      <c r="Q66" s="0" t="n">
        <f aca="false">IF(D66=1,Assumptions!$B$14*33.7,Assumptions!$B$13)</f>
        <v>3.1</v>
      </c>
      <c r="R66" s="0" t="n">
        <f aca="false">(Assumptions!$B$10/I66)*Q66</f>
        <v>939.393939393939</v>
      </c>
      <c r="S66" s="0" t="n">
        <f aca="false">Assumptions!$B$15+Assumptions!$B$17</f>
        <v>1750</v>
      </c>
      <c r="T66" s="0" t="n">
        <f aca="false">Assumptions!$B$15*(1+Assumptions!$B$16)+Assumptions!$B$17</f>
        <v>1942</v>
      </c>
      <c r="U66" s="0" t="n">
        <f aca="false">IF(OR(C66&gt;Assumptions!$B$11,Assumptions!$B$10*C66&gt;Assumptions!$B$12),1,0)</f>
        <v>0</v>
      </c>
      <c r="V66" s="0" t="n">
        <f aca="false">MAX(0.6,1-Assumptions!$B$22*MAX(0,(Assumptions!$B$10-10000)*C66)/10000)</f>
        <v>1</v>
      </c>
      <c r="W66" s="0" t="n">
        <f aca="false">IF(U66=1,Assumptions!$B$23,MAX(Assumptions!$B$23,E66*POWER(1-O66,C66)*V66))</f>
        <v>18296.9473578963</v>
      </c>
      <c r="X66" s="0" t="n">
        <f aca="true">SUMPRODUCT((ROW(INDIRECT("1:"&amp;C66))&gt;Assumptions!$B$20)*Assumptions!$B$18*POWER(Assumptions!$B$19,ROW(INDIRECT("1:"&amp;C66))-Assumptions!$B$20-1)*IF(ROW(INDIRECT("1:"&amp;C66))&gt;Assumptions!$B$11,Assumptions!$B$21,1)/POWER(1+Assumptions!$B$2,ROW(INDIRECT("1:"&amp;C66))))</f>
        <v>0</v>
      </c>
      <c r="Y66" s="1" t="n">
        <f aca="false">-PV(Assumptions!$B$2,C66,R66+S66)+X66</f>
        <v>7365.25243153505</v>
      </c>
      <c r="Z66" s="1" t="n">
        <f aca="false">P66+Y66-(W66/POWER(1+Assumptions!$B$2,C66))</f>
        <v>16498.4070168839</v>
      </c>
      <c r="AA66" s="0" t="n">
        <f aca="false">P66*Assumptions!$B$7</f>
        <v>2507.5</v>
      </c>
      <c r="AB66" s="0" t="n">
        <f aca="false">P66-AA66</f>
        <v>22567.5</v>
      </c>
      <c r="AC66" s="1" t="n">
        <f aca="false">PMT(Assumptions!$B$5,Assumptions!$B$6,-AB66)</f>
        <v>446.757081880492</v>
      </c>
      <c r="AD66" s="0" t="n">
        <f aca="false">C66*12</f>
        <v>36</v>
      </c>
      <c r="AE66" s="0" t="n">
        <f aca="false">MIN(Assumptions!$B$6,AD66)</f>
        <v>36</v>
      </c>
      <c r="AF66" s="1" t="n">
        <f aca="false">IF(AD66&gt;=Assumptions!$B$6,0,-PV(Assumptions!$B$5,Assumptions!$B$6-AD66,AC66))</f>
        <v>9979.37420847089</v>
      </c>
      <c r="AG66" s="1" t="n">
        <f aca="false">AA66+(-PV(Assumptions!$B$3,AE66,AC66))+Y66-((W66-AF66)/POWER(1+Assumptions!$B$2,C66))</f>
        <v>17599.3441709879</v>
      </c>
      <c r="AH66" s="0" t="n">
        <f aca="false">H66/12</f>
        <v>3.25</v>
      </c>
      <c r="AI66" s="0" t="n">
        <f aca="false">MAX(0,Assumptions!$B$10-Assumptions!$B$24)*Assumptions!$B$25</f>
        <v>0</v>
      </c>
      <c r="AJ66" s="1" t="n">
        <f aca="false">F66+Assumptions!$B$27+(-PV(Assumptions!$B$3,H66-1,G66))</f>
        <v>13449.4805349235</v>
      </c>
      <c r="AK66" s="0" t="n">
        <f aca="false">CEILING(C66/AH66,1)</f>
        <v>1</v>
      </c>
      <c r="AL66" s="0" t="n">
        <f aca="false">(1+Assumptions!$B$26)/POWER(1+Assumptions!$B$2,AH66)</f>
        <v>0.895790853682276</v>
      </c>
      <c r="AM66" s="0" t="n">
        <f aca="false">IF(ABS(1-AL66)&lt;0.000000000001,AK66,(1-POWER(AL66,AK66))/(1-AL66))</f>
        <v>1</v>
      </c>
      <c r="AN66" s="0" t="n">
        <f aca="false">1/POWER(1+Assumptions!$B$2,AH66)</f>
        <v>0.861337359309881</v>
      </c>
      <c r="AO66" s="0" t="n">
        <f aca="false">IF(ABS(1-AN66)&lt;0.000000000001,AK66,AN66*(1-POWER(AN66,AK66))/(1-AN66))</f>
        <v>0.861337359309881</v>
      </c>
      <c r="AP66" s="1" t="n">
        <f aca="false">AJ66*AM66+Assumptions!$B$28*AO66+(-PV(Assumptions!$B$2,C66,R66+T66+AI66))</f>
        <v>21685.0846922243</v>
      </c>
      <c r="AQ66" s="0" t="n">
        <f aca="false">N66*(1+Assumptions!$B$8)</f>
        <v>13694.625</v>
      </c>
      <c r="AR66" s="1" t="n">
        <f aca="false">PMT(Assumptions!$B$5,Assumptions!$B$29,-AQ66)</f>
        <v>422.78765149669</v>
      </c>
      <c r="AS66" s="0" t="n">
        <f aca="false">MAX(0,AD66-H66)</f>
        <v>0</v>
      </c>
      <c r="AT66" s="0" t="n">
        <f aca="false">MIN(Assumptions!$B$29,AS66)</f>
        <v>0</v>
      </c>
      <c r="AU66" s="1" t="n">
        <f aca="false">IF(AS66&gt;=Assumptions!$B$29,0,-PV(Assumptions!$B$5,Assumptions!$B$29-AS66,AR66))</f>
        <v>13694.6249999999</v>
      </c>
      <c r="AV66" s="1" t="n">
        <f aca="false">(-PV(Assumptions!$B$3,AT66,AR66))/POWER(1+Assumptions!$B$2,AH66)</f>
        <v>0</v>
      </c>
      <c r="AW66" s="1" t="n">
        <f aca="false">-PV(Assumptions!$B$2,AH66,T66+AI66)</f>
        <v>5729.42230255769</v>
      </c>
      <c r="AX66" s="1" t="n">
        <f aca="false">(-PV(Assumptions!$B$2,C66,S66))-(-PV(Assumptions!$B$2,AH66,S66))</f>
        <v>-370.369786009012</v>
      </c>
      <c r="AY66" s="1" t="n">
        <f aca="false">AJ66+AW66+AX66+(-PV(Assumptions!$B$2,C66,R66))+X66-(W66/POWER(1+Assumptions!$B$2,C66))</f>
        <v>5439.33919037131</v>
      </c>
      <c r="AZ66" s="1" t="n">
        <f aca="false">AY66+AV66+(AU66/POWER(1+Assumptions!$B$2,C66))</f>
        <v>17371.2527763498</v>
      </c>
      <c r="BA66" s="0" t="n">
        <f aca="false">AQ66/POWER(1+Assumptions!$B$2,AH66)</f>
        <v>11795.6921342391</v>
      </c>
      <c r="BB66" s="1" t="n">
        <f aca="false">AY66+BA66</f>
        <v>17235.0313246104</v>
      </c>
      <c r="BC66" s="1" t="n">
        <f aca="false">AJ66+Assumptions!$B$28/POWER(1+Assumptions!$B$2,AH66)+(-PV(Assumptions!$B$2,AH66,R66+T66+AI66))</f>
        <v>22294.9025532191</v>
      </c>
      <c r="BD66" s="1" t="n">
        <f aca="false">MIN(Z66,AG66,AZ66)</f>
        <v>16498.4070168839</v>
      </c>
      <c r="BE66" s="0" t="str">
        <f aca="false">IF(BD66=Z66,"Cash",IF(BD66=AG66,"Loan","Lease then buy out"))</f>
        <v>Cash</v>
      </c>
    </row>
    <row r="67" customFormat="false" ht="15" hidden="false" customHeight="false" outlineLevel="0" collapsed="false">
      <c r="A67" s="0" t="s">
        <v>55</v>
      </c>
      <c r="B67" s="0" t="s">
        <v>129</v>
      </c>
      <c r="C67" s="0" t="n">
        <v>3</v>
      </c>
      <c r="D67" s="0" t="n">
        <v>0</v>
      </c>
      <c r="E67" s="0" t="n">
        <v>37100</v>
      </c>
      <c r="F67" s="0" t="n">
        <v>4409</v>
      </c>
      <c r="G67" s="0" t="n">
        <v>499</v>
      </c>
      <c r="H67" s="0" t="n">
        <v>36</v>
      </c>
      <c r="I67" s="0" t="n">
        <v>20</v>
      </c>
      <c r="J67" s="0" t="n">
        <v>16255</v>
      </c>
      <c r="K67" s="0" t="s">
        <v>99</v>
      </c>
      <c r="L67" s="0" t="n">
        <v>90.1</v>
      </c>
      <c r="M67" s="0" t="n">
        <f aca="false">MAX(Assumptions!$B$33,Assumptions!$B$30-Assumptions!$B$31*(H67-36)-IF(D67=1,Assumptions!$B$32,0))</f>
        <v>0.57</v>
      </c>
      <c r="N67" s="0" t="n">
        <f aca="false">E67*M67</f>
        <v>21147</v>
      </c>
      <c r="O67" s="0" t="n">
        <f aca="false">1-POWER(J67/E67,0.1)</f>
        <v>0.079208489747256</v>
      </c>
      <c r="P67" s="0" t="n">
        <f aca="false">E67*(1+Assumptions!$B$8)+Assumptions!$B$9</f>
        <v>39355</v>
      </c>
      <c r="Q67" s="0" t="n">
        <f aca="false">IF(D67=1,Assumptions!$B$14*33.7,Assumptions!$B$13)</f>
        <v>3.1</v>
      </c>
      <c r="R67" s="0" t="n">
        <f aca="false">(Assumptions!$B$10/I67)*Q67</f>
        <v>1550</v>
      </c>
      <c r="S67" s="0" t="n">
        <f aca="false">Assumptions!$B$15+Assumptions!$B$17</f>
        <v>1750</v>
      </c>
      <c r="T67" s="0" t="n">
        <f aca="false">Assumptions!$B$15*(1+Assumptions!$B$16)+Assumptions!$B$17</f>
        <v>1942</v>
      </c>
      <c r="U67" s="0" t="n">
        <f aca="false">IF(OR(C67&gt;Assumptions!$B$11,Assumptions!$B$10*C67&gt;Assumptions!$B$12),1,0)</f>
        <v>0</v>
      </c>
      <c r="V67" s="0" t="n">
        <f aca="false">MAX(0.6,1-Assumptions!$B$22*MAX(0,(Assumptions!$B$10-10000)*C67)/10000)</f>
        <v>1</v>
      </c>
      <c r="W67" s="0" t="n">
        <f aca="false">IF(U67=1,Assumptions!$B$23,MAX(Assumptions!$B$23,E67*POWER(1-O67,C67)*V67))</f>
        <v>28963.952653444</v>
      </c>
      <c r="X67" s="0" t="n">
        <f aca="true">SUMPRODUCT((ROW(INDIRECT("1:"&amp;C67))&gt;Assumptions!$B$20)*Assumptions!$B$18*POWER(Assumptions!$B$19,ROW(INDIRECT("1:"&amp;C67))-Assumptions!$B$20-1)*IF(ROW(INDIRECT("1:"&amp;C67))&gt;Assumptions!$B$11,Assumptions!$B$21,1)/POWER(1+Assumptions!$B$2,ROW(INDIRECT("1:"&amp;C67))))</f>
        <v>0</v>
      </c>
      <c r="Y67" s="1" t="n">
        <f aca="false">-PV(Assumptions!$B$2,C67,R67+S67)+X67</f>
        <v>9037.47594134273</v>
      </c>
      <c r="Z67" s="1" t="n">
        <f aca="false">P67+Y67-(W67/POWER(1+Assumptions!$B$2,C67))</f>
        <v>23156.63485995</v>
      </c>
      <c r="AA67" s="0" t="n">
        <f aca="false">P67*Assumptions!$B$7</f>
        <v>3935.5</v>
      </c>
      <c r="AB67" s="0" t="n">
        <f aca="false">P67-AA67</f>
        <v>35419.5</v>
      </c>
      <c r="AC67" s="1" t="n">
        <f aca="false">PMT(Assumptions!$B$5,Assumptions!$B$6,-AB67)</f>
        <v>701.181453934466</v>
      </c>
      <c r="AD67" s="0" t="n">
        <f aca="false">C67*12</f>
        <v>36</v>
      </c>
      <c r="AE67" s="0" t="n">
        <f aca="false">MIN(Assumptions!$B$6,AD67)</f>
        <v>36</v>
      </c>
      <c r="AF67" s="1" t="n">
        <f aca="false">IF(AD67&gt;=Assumptions!$B$6,0,-PV(Assumptions!$B$5,Assumptions!$B$6-AD67,AC67))</f>
        <v>15662.5432492272</v>
      </c>
      <c r="AG67" s="1" t="n">
        <f aca="false">AA67+(-PV(Assumptions!$B$3,AE67,AC67))+Y67-((W67-AF67)/POWER(1+Assumptions!$B$2,C67))</f>
        <v>24884.5463933403</v>
      </c>
      <c r="AH67" s="0" t="n">
        <f aca="false">H67/12</f>
        <v>3</v>
      </c>
      <c r="AI67" s="0" t="n">
        <f aca="false">MAX(0,Assumptions!$B$10-Assumptions!$B$24)*Assumptions!$B$25</f>
        <v>0</v>
      </c>
      <c r="AJ67" s="1" t="n">
        <f aca="false">F67+Assumptions!$B$27+(-PV(Assumptions!$B$3,H67-1,G67))</f>
        <v>21400.0480995434</v>
      </c>
      <c r="AK67" s="0" t="n">
        <f aca="false">CEILING(C67/AH67,1)</f>
        <v>1</v>
      </c>
      <c r="AL67" s="0" t="n">
        <f aca="false">(1+Assumptions!$B$26)/POWER(1+Assumptions!$B$2,AH67)</f>
        <v>0.906135810905202</v>
      </c>
      <c r="AM67" s="0" t="n">
        <f aca="false">IF(ABS(1-AL67)&lt;0.000000000001,AK67,(1-POWER(AL67,AK67))/(1-AL67))</f>
        <v>1</v>
      </c>
      <c r="AN67" s="0" t="n">
        <f aca="false">1/POWER(1+Assumptions!$B$2,AH67)</f>
        <v>0.871284433562695</v>
      </c>
      <c r="AO67" s="0" t="n">
        <f aca="false">IF(ABS(1-AN67)&lt;0.000000000001,AK67,AN67*(1-POWER(AN67,AK67))/(1-AN67))</f>
        <v>0.871284433562695</v>
      </c>
      <c r="AP67" s="1" t="n">
        <f aca="false">AJ67*AM67+Assumptions!$B$28*AO67+(-PV(Assumptions!$B$2,C67,R67+T67+AI67))</f>
        <v>31311.854596353</v>
      </c>
      <c r="AQ67" s="0" t="n">
        <f aca="false">N67*(1+Assumptions!$B$8)</f>
        <v>22204.35</v>
      </c>
      <c r="AR67" s="1" t="n">
        <f aca="false">PMT(Assumptions!$B$5,Assumptions!$B$29,-AQ67)</f>
        <v>685.504348568181</v>
      </c>
      <c r="AS67" s="0" t="n">
        <f aca="false">MAX(0,AD67-H67)</f>
        <v>0</v>
      </c>
      <c r="AT67" s="0" t="n">
        <f aca="false">MIN(Assumptions!$B$29,AS67)</f>
        <v>0</v>
      </c>
      <c r="AU67" s="1" t="n">
        <f aca="false">IF(AS67&gt;=Assumptions!$B$29,0,-PV(Assumptions!$B$5,Assumptions!$B$29-AS67,AR67))</f>
        <v>22204.3499999999</v>
      </c>
      <c r="AV67" s="1" t="n">
        <f aca="false">(-PV(Assumptions!$B$3,AT67,AR67))/POWER(1+Assumptions!$B$2,AH67)</f>
        <v>0</v>
      </c>
      <c r="AW67" s="1" t="n">
        <f aca="false">-PV(Assumptions!$B$2,AH67,T67+AI67)</f>
        <v>5318.41766002654</v>
      </c>
      <c r="AX67" s="1" t="n">
        <f aca="false">(-PV(Assumptions!$B$2,C67,S67))-(-PV(Assumptions!$B$2,AH67,S67))</f>
        <v>0</v>
      </c>
      <c r="AY67" s="1" t="n">
        <f aca="false">AJ67+AW67+AX67+(-PV(Assumptions!$B$2,C67,R67))+X67-(W67/POWER(1+Assumptions!$B$2,C67))</f>
        <v>5727.49974153518</v>
      </c>
      <c r="AZ67" s="1" t="n">
        <f aca="false">AY67+AV67+(AU67/POWER(1+Assumptions!$B$2,C67))</f>
        <v>25073.8042539129</v>
      </c>
      <c r="BA67" s="0" t="n">
        <f aca="false">AQ67/POWER(1+Assumptions!$B$2,AH67)</f>
        <v>19346.3045123778</v>
      </c>
      <c r="BB67" s="1" t="n">
        <f aca="false">AY67+BA67</f>
        <v>25073.804253913</v>
      </c>
      <c r="BC67" s="1" t="n">
        <f aca="false">AJ67+Assumptions!$B$28/POWER(1+Assumptions!$B$2,AH67)+(-PV(Assumptions!$B$2,AH67,R67+T67+AI67))</f>
        <v>31311.854596353</v>
      </c>
      <c r="BD67" s="1" t="n">
        <f aca="false">MIN(Z67,AG67,AZ67)</f>
        <v>23156.63485995</v>
      </c>
      <c r="BE67" s="0" t="str">
        <f aca="false">IF(BD67=Z67,"Cash",IF(BD67=AG67,"Loan","Lease then buy out"))</f>
        <v>Cash</v>
      </c>
    </row>
    <row r="68" customFormat="false" ht="15" hidden="false" customHeight="false" outlineLevel="0" collapsed="false">
      <c r="A68" s="0" t="s">
        <v>41</v>
      </c>
      <c r="B68" s="0" t="s">
        <v>130</v>
      </c>
      <c r="C68" s="0" t="n">
        <v>3</v>
      </c>
      <c r="D68" s="0" t="n">
        <v>0</v>
      </c>
      <c r="E68" s="0" t="n">
        <v>40457</v>
      </c>
      <c r="F68" s="0" t="n">
        <v>2920</v>
      </c>
      <c r="G68" s="0" t="n">
        <v>420</v>
      </c>
      <c r="H68" s="0" t="n">
        <v>36</v>
      </c>
      <c r="I68" s="0" t="n">
        <v>22</v>
      </c>
      <c r="J68" s="0" t="n">
        <v>12016</v>
      </c>
      <c r="K68" s="0" t="s">
        <v>99</v>
      </c>
      <c r="L68" s="0" t="n">
        <v>183.8</v>
      </c>
      <c r="M68" s="0" t="n">
        <f aca="false">MAX(Assumptions!$B$33,Assumptions!$B$30-Assumptions!$B$31*(H68-36)-IF(D68=1,Assumptions!$B$32,0))</f>
        <v>0.57</v>
      </c>
      <c r="N68" s="0" t="n">
        <f aca="false">E68*M68</f>
        <v>23060.49</v>
      </c>
      <c r="O68" s="0" t="n">
        <f aca="false">1-POWER(J68/E68,0.1)</f>
        <v>0.114320435077221</v>
      </c>
      <c r="P68" s="0" t="n">
        <f aca="false">E68*(1+Assumptions!$B$8)+Assumptions!$B$9</f>
        <v>42879.85</v>
      </c>
      <c r="Q68" s="0" t="n">
        <f aca="false">IF(D68=1,Assumptions!$B$14*33.7,Assumptions!$B$13)</f>
        <v>3.1</v>
      </c>
      <c r="R68" s="0" t="n">
        <f aca="false">(Assumptions!$B$10/I68)*Q68</f>
        <v>1409.09090909091</v>
      </c>
      <c r="S68" s="0" t="n">
        <f aca="false">Assumptions!$B$15+Assumptions!$B$17</f>
        <v>1750</v>
      </c>
      <c r="T68" s="0" t="n">
        <f aca="false">Assumptions!$B$15*(1+Assumptions!$B$16)+Assumptions!$B$17</f>
        <v>1942</v>
      </c>
      <c r="U68" s="0" t="n">
        <f aca="false">IF(OR(C68&gt;Assumptions!$B$11,Assumptions!$B$10*C68&gt;Assumptions!$B$12),1,0)</f>
        <v>0</v>
      </c>
      <c r="V68" s="0" t="n">
        <f aca="false">MAX(0.6,1-Assumptions!$B$22*MAX(0,(Assumptions!$B$10-10000)*C68)/10000)</f>
        <v>1</v>
      </c>
      <c r="W68" s="0" t="n">
        <f aca="false">IF(U68=1,Assumptions!$B$23,MAX(Assumptions!$B$23,E68*POWER(1-O68,C68)*V68))</f>
        <v>28107.5860384247</v>
      </c>
      <c r="X68" s="0" t="n">
        <f aca="true">SUMPRODUCT((ROW(INDIRECT("1:"&amp;C68))&gt;Assumptions!$B$20)*Assumptions!$B$18*POWER(Assumptions!$B$19,ROW(INDIRECT("1:"&amp;C68))-Assumptions!$B$20-1)*IF(ROW(INDIRECT("1:"&amp;C68))&gt;Assumptions!$B$11,Assumptions!$B$21,1)/POWER(1+Assumptions!$B$2,ROW(INDIRECT("1:"&amp;C68))))</f>
        <v>0</v>
      </c>
      <c r="Y68" s="1" t="n">
        <f aca="false">-PV(Assumptions!$B$2,C68,R68+S68)+X68</f>
        <v>8651.57820831019</v>
      </c>
      <c r="Z68" s="1" t="n">
        <f aca="false">P68+Y68-(W68/POWER(1+Assumptions!$B$2,C68))</f>
        <v>27041.7260280066</v>
      </c>
      <c r="AA68" s="0" t="n">
        <f aca="false">P68*Assumptions!$B$7</f>
        <v>4287.985</v>
      </c>
      <c r="AB68" s="0" t="n">
        <f aca="false">P68-AA68</f>
        <v>38591.865</v>
      </c>
      <c r="AC68" s="1" t="n">
        <f aca="false">PMT(Assumptions!$B$5,Assumptions!$B$6,-AB68)</f>
        <v>763.983116948084</v>
      </c>
      <c r="AD68" s="0" t="n">
        <f aca="false">C68*12</f>
        <v>36</v>
      </c>
      <c r="AE68" s="0" t="n">
        <f aca="false">MIN(Assumptions!$B$6,AD68)</f>
        <v>36</v>
      </c>
      <c r="AF68" s="1" t="n">
        <f aca="false">IF(AD68&gt;=Assumptions!$B$6,0,-PV(Assumptions!$B$5,Assumptions!$B$6-AD68,AC68))</f>
        <v>17065.3666661256</v>
      </c>
      <c r="AG68" s="1" t="n">
        <f aca="false">AA68+(-PV(Assumptions!$B$3,AE68,AC68))+Y68-((W68-AF68)/POWER(1+Assumptions!$B$2,C68))</f>
        <v>28924.3988107546</v>
      </c>
      <c r="AH68" s="0" t="n">
        <f aca="false">H68/12</f>
        <v>3</v>
      </c>
      <c r="AI68" s="0" t="n">
        <f aca="false">MAX(0,Assumptions!$B$10-Assumptions!$B$24)*Assumptions!$B$25</f>
        <v>0</v>
      </c>
      <c r="AJ68" s="1" t="n">
        <f aca="false">F68+Assumptions!$B$27+(-PV(Assumptions!$B$3,H68-1,G68))</f>
        <v>17331.9042120405</v>
      </c>
      <c r="AK68" s="0" t="n">
        <f aca="false">CEILING(C68/AH68,1)</f>
        <v>1</v>
      </c>
      <c r="AL68" s="0" t="n">
        <f aca="false">(1+Assumptions!$B$26)/POWER(1+Assumptions!$B$2,AH68)</f>
        <v>0.906135810905202</v>
      </c>
      <c r="AM68" s="0" t="n">
        <f aca="false">IF(ABS(1-AL68)&lt;0.000000000001,AK68,(1-POWER(AL68,AK68))/(1-AL68))</f>
        <v>1</v>
      </c>
      <c r="AN68" s="0" t="n">
        <f aca="false">1/POWER(1+Assumptions!$B$2,AH68)</f>
        <v>0.871284433562695</v>
      </c>
      <c r="AO68" s="0" t="n">
        <f aca="false">IF(ABS(1-AN68)&lt;0.000000000001,AK68,AN68*(1-POWER(AN68,AK68))/(1-AN68))</f>
        <v>0.871284433562695</v>
      </c>
      <c r="AP68" s="1" t="n">
        <f aca="false">AJ68*AM68+Assumptions!$B$28*AO68+(-PV(Assumptions!$B$2,C68,R68+T68+AI68))</f>
        <v>26857.8129758176</v>
      </c>
      <c r="AQ68" s="0" t="n">
        <f aca="false">N68*(1+Assumptions!$B$8)</f>
        <v>24213.5145</v>
      </c>
      <c r="AR68" s="1" t="n">
        <f aca="false">PMT(Assumptions!$B$5,Assumptions!$B$29,-AQ68)</f>
        <v>747.532329650213</v>
      </c>
      <c r="AS68" s="0" t="n">
        <f aca="false">MAX(0,AD68-H68)</f>
        <v>0</v>
      </c>
      <c r="AT68" s="0" t="n">
        <f aca="false">MIN(Assumptions!$B$29,AS68)</f>
        <v>0</v>
      </c>
      <c r="AU68" s="1" t="n">
        <f aca="false">IF(AS68&gt;=Assumptions!$B$29,0,-PV(Assumptions!$B$5,Assumptions!$B$29-AS68,AR68))</f>
        <v>24213.5144999999</v>
      </c>
      <c r="AV68" s="1" t="n">
        <f aca="false">(-PV(Assumptions!$B$3,AT68,AR68))/POWER(1+Assumptions!$B$2,AH68)</f>
        <v>0</v>
      </c>
      <c r="AW68" s="1" t="n">
        <f aca="false">-PV(Assumptions!$B$2,AH68,T68+AI68)</f>
        <v>5318.41766002654</v>
      </c>
      <c r="AX68" s="1" t="n">
        <f aca="false">(-PV(Assumptions!$B$2,C68,S68))-(-PV(Assumptions!$B$2,AH68,S68))</f>
        <v>0</v>
      </c>
      <c r="AY68" s="1" t="n">
        <f aca="false">AJ68+AW68+AX68+(-PV(Assumptions!$B$2,C68,R68))+X68-(W68/POWER(1+Assumptions!$B$2,C68))</f>
        <v>2019.59702208894</v>
      </c>
      <c r="AZ68" s="1" t="n">
        <f aca="false">AY68+AV68+(AU68/POWER(1+Assumptions!$B$2,C68))</f>
        <v>23116.4552877834</v>
      </c>
      <c r="BA68" s="0" t="n">
        <f aca="false">AQ68/POWER(1+Assumptions!$B$2,AH68)</f>
        <v>21096.8582656946</v>
      </c>
      <c r="BB68" s="1" t="n">
        <f aca="false">AY68+BA68</f>
        <v>23116.4552877835</v>
      </c>
      <c r="BC68" s="1" t="n">
        <f aca="false">AJ68+Assumptions!$B$28/POWER(1+Assumptions!$B$2,AH68)+(-PV(Assumptions!$B$2,AH68,R68+T68+AI68))</f>
        <v>26857.8129758176</v>
      </c>
      <c r="BD68" s="1" t="n">
        <f aca="false">MIN(Z68,AG68,AZ68)</f>
        <v>23116.4552877834</v>
      </c>
      <c r="BE68" s="0" t="str">
        <f aca="false">IF(BD68=Z68,"Cash",IF(BD68=AG68,"Loan","Lease then buy out"))</f>
        <v>Lease then buy out</v>
      </c>
    </row>
    <row r="69" customFormat="false" ht="15" hidden="false" customHeight="false" outlineLevel="0" collapsed="false">
      <c r="A69" s="0" t="s">
        <v>51</v>
      </c>
      <c r="B69" s="0" t="s">
        <v>131</v>
      </c>
      <c r="C69" s="0" t="n">
        <v>3</v>
      </c>
      <c r="D69" s="0" t="n">
        <v>1</v>
      </c>
      <c r="E69" s="0" t="n">
        <v>32180</v>
      </c>
      <c r="F69" s="0" t="n">
        <v>2983</v>
      </c>
      <c r="G69" s="0" t="n">
        <v>483</v>
      </c>
      <c r="H69" s="0" t="n">
        <v>36</v>
      </c>
      <c r="I69" s="0" t="n">
        <v>120</v>
      </c>
      <c r="J69" s="0" t="n">
        <v>6700</v>
      </c>
      <c r="K69" s="0" t="s">
        <v>99</v>
      </c>
      <c r="L69" s="0" t="n">
        <v>148.9</v>
      </c>
      <c r="M69" s="0" t="n">
        <f aca="false">MAX(Assumptions!$B$33,Assumptions!$B$30-Assumptions!$B$31*(H69-36)-IF(D69=1,Assumptions!$B$32,0))</f>
        <v>0.49</v>
      </c>
      <c r="N69" s="0" t="n">
        <f aca="false">E69*M69</f>
        <v>15768.2</v>
      </c>
      <c r="O69" s="0" t="n">
        <f aca="false">1-POWER(J69/E69,0.1)</f>
        <v>0.145230777357263</v>
      </c>
      <c r="P69" s="0" t="n">
        <f aca="false">E69*(1+Assumptions!$B$8)+Assumptions!$B$9</f>
        <v>34189</v>
      </c>
      <c r="Q69" s="0" t="n">
        <f aca="false">IF(D69=1,Assumptions!$B$14*33.7,Assumptions!$B$13)</f>
        <v>5.729</v>
      </c>
      <c r="R69" s="0" t="n">
        <f aca="false">(Assumptions!$B$10/I69)*Q69</f>
        <v>477.416666666667</v>
      </c>
      <c r="S69" s="0" t="n">
        <f aca="false">Assumptions!$B$15+Assumptions!$B$17</f>
        <v>1750</v>
      </c>
      <c r="T69" s="0" t="n">
        <f aca="false">Assumptions!$B$15*(1+Assumptions!$B$16)+Assumptions!$B$17</f>
        <v>1942</v>
      </c>
      <c r="U69" s="0" t="n">
        <f aca="false">IF(OR(C69&gt;Assumptions!$B$11,Assumptions!$B$10*C69&gt;Assumptions!$B$12),1,0)</f>
        <v>0</v>
      </c>
      <c r="V69" s="0" t="n">
        <f aca="false">MAX(0.6,1-Assumptions!$B$22*MAX(0,(Assumptions!$B$10-10000)*C69)/10000)</f>
        <v>1</v>
      </c>
      <c r="W69" s="0" t="n">
        <f aca="false">IF(U69=1,Assumptions!$B$23,MAX(Assumptions!$B$23,E69*POWER(1-O69,C69)*V69))</f>
        <v>20097.0664572674</v>
      </c>
      <c r="X69" s="0" t="n">
        <f aca="true">SUMPRODUCT((ROW(INDIRECT("1:"&amp;C69))&gt;Assumptions!$B$20)*Assumptions!$B$18*POWER(Assumptions!$B$19,ROW(INDIRECT("1:"&amp;C69))-Assumptions!$B$20-1)*IF(ROW(INDIRECT("1:"&amp;C69))&gt;Assumptions!$B$11,Assumptions!$B$21,1)/POWER(1+Assumptions!$B$2,ROW(INDIRECT("1:"&amp;C69))))</f>
        <v>0</v>
      </c>
      <c r="Y69" s="1" t="n">
        <f aca="false">-PV(Assumptions!$B$2,C69,R69+S69)+X69</f>
        <v>6100.06804131692</v>
      </c>
      <c r="Z69" s="1" t="n">
        <f aca="false">P69+Y69-(W69/POWER(1+Assumptions!$B$2,C69))</f>
        <v>22778.8068768248</v>
      </c>
      <c r="AA69" s="0" t="n">
        <f aca="false">P69*Assumptions!$B$7</f>
        <v>3418.9</v>
      </c>
      <c r="AB69" s="0" t="n">
        <f aca="false">P69-AA69</f>
        <v>30770.1</v>
      </c>
      <c r="AC69" s="1" t="n">
        <f aca="false">PMT(Assumptions!$B$5,Assumptions!$B$6,-AB69)</f>
        <v>609.139695809058</v>
      </c>
      <c r="AD69" s="0" t="n">
        <f aca="false">C69*12</f>
        <v>36</v>
      </c>
      <c r="AE69" s="0" t="n">
        <f aca="false">MIN(Assumptions!$B$6,AD69)</f>
        <v>36</v>
      </c>
      <c r="AF69" s="1" t="n">
        <f aca="false">IF(AD69&gt;=Assumptions!$B$6,0,-PV(Assumptions!$B$5,Assumptions!$B$6-AD69,AC69))</f>
        <v>13606.5732727183</v>
      </c>
      <c r="AG69" s="1" t="n">
        <f aca="false">AA69+(-PV(Assumptions!$B$3,AE69,AC69))+Y69-((W69-AF69)/POWER(1+Assumptions!$B$2,C69))</f>
        <v>24279.9012082968</v>
      </c>
      <c r="AH69" s="0" t="n">
        <f aca="false">H69/12</f>
        <v>3</v>
      </c>
      <c r="AI69" s="0" t="n">
        <f aca="false">MAX(0,Assumptions!$B$10-Assumptions!$B$24)*Assumptions!$B$25</f>
        <v>0</v>
      </c>
      <c r="AJ69" s="1" t="n">
        <f aca="false">F69+Assumptions!$B$27+(-PV(Assumptions!$B$3,H69-1,G69))</f>
        <v>19451.6898438466</v>
      </c>
      <c r="AK69" s="0" t="n">
        <f aca="false">CEILING(C69/AH69,1)</f>
        <v>1</v>
      </c>
      <c r="AL69" s="0" t="n">
        <f aca="false">(1+Assumptions!$B$26)/POWER(1+Assumptions!$B$2,AH69)</f>
        <v>0.906135810905202</v>
      </c>
      <c r="AM69" s="0" t="n">
        <f aca="false">IF(ABS(1-AL69)&lt;0.000000000001,AK69,(1-POWER(AL69,AK69))/(1-AL69))</f>
        <v>1</v>
      </c>
      <c r="AN69" s="0" t="n">
        <f aca="false">1/POWER(1+Assumptions!$B$2,AH69)</f>
        <v>0.871284433562695</v>
      </c>
      <c r="AO69" s="0" t="n">
        <f aca="false">IF(ABS(1-AN69)&lt;0.000000000001,AK69,AN69*(1-POWER(AN69,AK69))/(1-AN69))</f>
        <v>0.871284433562695</v>
      </c>
      <c r="AP69" s="1" t="n">
        <f aca="false">AJ69*AM69+Assumptions!$B$28*AO69+(-PV(Assumptions!$B$2,C69,R69+T69+AI69))</f>
        <v>26426.0884406304</v>
      </c>
      <c r="AQ69" s="0" t="n">
        <f aca="false">N69*(1+Assumptions!$B$8)</f>
        <v>16556.61</v>
      </c>
      <c r="AR69" s="1" t="n">
        <f aca="false">PMT(Assumptions!$B$5,Assumptions!$B$29,-AQ69)</f>
        <v>511.144354711911</v>
      </c>
      <c r="AS69" s="0" t="n">
        <f aca="false">MAX(0,AD69-H69)</f>
        <v>0</v>
      </c>
      <c r="AT69" s="0" t="n">
        <f aca="false">MIN(Assumptions!$B$29,AS69)</f>
        <v>0</v>
      </c>
      <c r="AU69" s="1" t="n">
        <f aca="false">IF(AS69&gt;=Assumptions!$B$29,0,-PV(Assumptions!$B$5,Assumptions!$B$29-AS69,AR69))</f>
        <v>16556.6099999999</v>
      </c>
      <c r="AV69" s="1" t="n">
        <f aca="false">(-PV(Assumptions!$B$3,AT69,AR69))/POWER(1+Assumptions!$B$2,AH69)</f>
        <v>0</v>
      </c>
      <c r="AW69" s="1" t="n">
        <f aca="false">-PV(Assumptions!$B$2,AH69,T69+AI69)</f>
        <v>5318.41766002654</v>
      </c>
      <c r="AX69" s="1" t="n">
        <f aca="false">(-PV(Assumptions!$B$2,C69,S69))-(-PV(Assumptions!$B$2,AH69,S69))</f>
        <v>0</v>
      </c>
      <c r="AY69" s="1" t="n">
        <f aca="false">AJ69+AW69+AX69+(-PV(Assumptions!$B$2,C69,R69))+X69-(W69/POWER(1+Assumptions!$B$2,C69))</f>
        <v>8567.31350271319</v>
      </c>
      <c r="AZ69" s="1" t="n">
        <f aca="false">AY69+AV69+(AU69/POWER(1+Assumptions!$B$2,C69))</f>
        <v>22992.8300682816</v>
      </c>
      <c r="BA69" s="0" t="n">
        <f aca="false">AQ69/POWER(1+Assumptions!$B$2,AH69)</f>
        <v>14425.5165655684</v>
      </c>
      <c r="BB69" s="1" t="n">
        <f aca="false">AY69+BA69</f>
        <v>22992.8300682816</v>
      </c>
      <c r="BC69" s="1" t="n">
        <f aca="false">AJ69+Assumptions!$B$28/POWER(1+Assumptions!$B$2,AH69)+(-PV(Assumptions!$B$2,AH69,R69+T69+AI69))</f>
        <v>26426.0884406304</v>
      </c>
      <c r="BD69" s="1" t="n">
        <f aca="false">MIN(Z69,AG69,AZ69)</f>
        <v>22778.8068768248</v>
      </c>
      <c r="BE69" s="0" t="str">
        <f aca="false">IF(BD69=Z69,"Cash",IF(BD69=AG69,"Loan","Lease then buy out"))</f>
        <v>Cash</v>
      </c>
    </row>
    <row r="70" customFormat="false" ht="15" hidden="false" customHeight="false" outlineLevel="0" collapsed="false">
      <c r="A70" s="0" t="s">
        <v>48</v>
      </c>
      <c r="B70" s="0" t="s">
        <v>132</v>
      </c>
      <c r="C70" s="0" t="n">
        <v>3</v>
      </c>
      <c r="D70" s="0" t="n">
        <v>0</v>
      </c>
      <c r="E70" s="0" t="n">
        <v>46040</v>
      </c>
      <c r="F70" s="0" t="n">
        <v>6059</v>
      </c>
      <c r="G70" s="0" t="n">
        <v>649</v>
      </c>
      <c r="H70" s="0" t="n">
        <v>36</v>
      </c>
      <c r="I70" s="0" t="n">
        <v>18</v>
      </c>
      <c r="J70" s="0" t="n">
        <v>11923</v>
      </c>
      <c r="K70" s="0" t="s">
        <v>107</v>
      </c>
      <c r="L70" s="0" t="n">
        <v>90.2</v>
      </c>
      <c r="M70" s="0" t="n">
        <f aca="false">MAX(Assumptions!$B$33,Assumptions!$B$30-Assumptions!$B$31*(H70-36)-IF(D70=1,Assumptions!$B$32,0))</f>
        <v>0.57</v>
      </c>
      <c r="N70" s="0" t="n">
        <f aca="false">E70*M70</f>
        <v>26242.8</v>
      </c>
      <c r="O70" s="0" t="n">
        <f aca="false">1-POWER(J70/E70,0.1)</f>
        <v>0.126375061519032</v>
      </c>
      <c r="P70" s="0" t="n">
        <f aca="false">E70*(1+Assumptions!$B$8)+Assumptions!$B$9</f>
        <v>48742</v>
      </c>
      <c r="Q70" s="0" t="n">
        <f aca="false">IF(D70=1,Assumptions!$B$14*33.7,Assumptions!$B$13)</f>
        <v>3.1</v>
      </c>
      <c r="R70" s="0" t="n">
        <f aca="false">(Assumptions!$B$10/I70)*Q70</f>
        <v>1722.22222222222</v>
      </c>
      <c r="S70" s="0" t="n">
        <f aca="false">Assumptions!$B$15+Assumptions!$B$17</f>
        <v>1750</v>
      </c>
      <c r="T70" s="0" t="n">
        <f aca="false">Assumptions!$B$15*(1+Assumptions!$B$16)+Assumptions!$B$17</f>
        <v>1942</v>
      </c>
      <c r="U70" s="0" t="n">
        <f aca="false">IF(OR(C70&gt;Assumptions!$B$11,Assumptions!$B$10*C70&gt;Assumptions!$B$12),1,0)</f>
        <v>0</v>
      </c>
      <c r="V70" s="0" t="n">
        <f aca="false">MAX(0.6,1-Assumptions!$B$22*MAX(0,(Assumptions!$B$10-10000)*C70)/10000)</f>
        <v>1</v>
      </c>
      <c r="W70" s="0" t="n">
        <f aca="false">IF(U70=1,Assumptions!$B$23,MAX(Assumptions!$B$23,E70*POWER(1-O70,C70)*V70))</f>
        <v>30698.0213398314</v>
      </c>
      <c r="X70" s="0" t="n">
        <f aca="true">SUMPRODUCT((ROW(INDIRECT("1:"&amp;C70))&gt;Assumptions!$B$20)*Assumptions!$B$18*POWER(Assumptions!$B$19,ROW(INDIRECT("1:"&amp;C70))-Assumptions!$B$20-1)*IF(ROW(INDIRECT("1:"&amp;C70))&gt;Assumptions!$B$11,Assumptions!$B$21,1)/POWER(1+Assumptions!$B$2,ROW(INDIRECT("1:"&amp;C70))))</f>
        <v>0</v>
      </c>
      <c r="Y70" s="1" t="n">
        <f aca="false">-PV(Assumptions!$B$2,C70,R70+S70)+X70</f>
        <v>9509.12872616028</v>
      </c>
      <c r="Z70" s="1" t="n">
        <f aca="false">P70+Y70-(W70/POWER(1+Assumptions!$B$2,C70))</f>
        <v>31504.4205915898</v>
      </c>
      <c r="AA70" s="0" t="n">
        <f aca="false">P70*Assumptions!$B$7</f>
        <v>4874.2</v>
      </c>
      <c r="AB70" s="0" t="n">
        <f aca="false">P70-AA70</f>
        <v>43867.8</v>
      </c>
      <c r="AC70" s="1" t="n">
        <f aca="false">PMT(Assumptions!$B$5,Assumptions!$B$6,-AB70)</f>
        <v>868.428063211123</v>
      </c>
      <c r="AD70" s="0" t="n">
        <f aca="false">C70*12</f>
        <v>36</v>
      </c>
      <c r="AE70" s="0" t="n">
        <f aca="false">MIN(Assumptions!$B$6,AD70)</f>
        <v>36</v>
      </c>
      <c r="AF70" s="1" t="n">
        <f aca="false">IF(AD70&gt;=Assumptions!$B$6,0,-PV(Assumptions!$B$5,Assumptions!$B$6-AD70,AC70))</f>
        <v>19398.3911333714</v>
      </c>
      <c r="AG70" s="1" t="n">
        <f aca="false">AA70+(-PV(Assumptions!$B$3,AE70,AC70))+Y70-((W70-AF70)/POWER(1+Assumptions!$B$2,C70))</f>
        <v>33644.4755772462</v>
      </c>
      <c r="AH70" s="0" t="n">
        <f aca="false">H70/12</f>
        <v>3</v>
      </c>
      <c r="AI70" s="0" t="n">
        <f aca="false">MAX(0,Assumptions!$B$10-Assumptions!$B$24)*Assumptions!$B$25</f>
        <v>0</v>
      </c>
      <c r="AJ70" s="1" t="n">
        <f aca="false">F70+Assumptions!$B$27+(-PV(Assumptions!$B$3,H70-1,G70))</f>
        <v>27947.1567467007</v>
      </c>
      <c r="AK70" s="0" t="n">
        <f aca="false">CEILING(C70/AH70,1)</f>
        <v>1</v>
      </c>
      <c r="AL70" s="0" t="n">
        <f aca="false">(1+Assumptions!$B$26)/POWER(1+Assumptions!$B$2,AH70)</f>
        <v>0.906135810905202</v>
      </c>
      <c r="AM70" s="0" t="n">
        <f aca="false">IF(ABS(1-AL70)&lt;0.000000000001,AK70,(1-POWER(AL70,AK70))/(1-AL70))</f>
        <v>1</v>
      </c>
      <c r="AN70" s="0" t="n">
        <f aca="false">1/POWER(1+Assumptions!$B$2,AH70)</f>
        <v>0.871284433562695</v>
      </c>
      <c r="AO70" s="0" t="n">
        <f aca="false">IF(ABS(1-AN70)&lt;0.000000000001,AK70,AN70*(1-POWER(AN70,AK70))/(1-AN70))</f>
        <v>0.871284433562695</v>
      </c>
      <c r="AP70" s="1" t="n">
        <f aca="false">AJ70*AM70+Assumptions!$B$28*AO70+(-PV(Assumptions!$B$2,C70,R70+T70+AI70))</f>
        <v>38330.6160283278</v>
      </c>
      <c r="AQ70" s="0" t="n">
        <f aca="false">N70*(1+Assumptions!$B$8)</f>
        <v>27554.94</v>
      </c>
      <c r="AR70" s="1" t="n">
        <f aca="false">PMT(Assumptions!$B$5,Assumptions!$B$29,-AQ70)</f>
        <v>850.690571646336</v>
      </c>
      <c r="AS70" s="0" t="n">
        <f aca="false">MAX(0,AD70-H70)</f>
        <v>0</v>
      </c>
      <c r="AT70" s="0" t="n">
        <f aca="false">MIN(Assumptions!$B$29,AS70)</f>
        <v>0</v>
      </c>
      <c r="AU70" s="1" t="n">
        <f aca="false">IF(AS70&gt;=Assumptions!$B$29,0,-PV(Assumptions!$B$5,Assumptions!$B$29-AS70,AR70))</f>
        <v>27554.9399999999</v>
      </c>
      <c r="AV70" s="1" t="n">
        <f aca="false">(-PV(Assumptions!$B$3,AT70,AR70))/POWER(1+Assumptions!$B$2,AH70)</f>
        <v>0</v>
      </c>
      <c r="AW70" s="1" t="n">
        <f aca="false">-PV(Assumptions!$B$2,AH70,T70+AI70)</f>
        <v>5318.41766002654</v>
      </c>
      <c r="AX70" s="1" t="n">
        <f aca="false">(-PV(Assumptions!$B$2,C70,S70))-(-PV(Assumptions!$B$2,AH70,S70))</f>
        <v>0</v>
      </c>
      <c r="AY70" s="1" t="n">
        <f aca="false">AJ70+AW70+AX70+(-PV(Assumptions!$B$2,C70,R70))+X70-(W70/POWER(1+Assumptions!$B$2,C70))</f>
        <v>11235.3941203323</v>
      </c>
      <c r="AZ70" s="1" t="n">
        <f aca="false">AY70+AV70+(AU70/POWER(1+Assumptions!$B$2,C70))</f>
        <v>35243.5844100862</v>
      </c>
      <c r="BA70" s="0" t="n">
        <f aca="false">AQ70/POWER(1+Assumptions!$B$2,AH70)</f>
        <v>24008.190289754</v>
      </c>
      <c r="BB70" s="1" t="n">
        <f aca="false">AY70+BA70</f>
        <v>35243.5844100863</v>
      </c>
      <c r="BC70" s="1" t="n">
        <f aca="false">AJ70+Assumptions!$B$28/POWER(1+Assumptions!$B$2,AH70)+(-PV(Assumptions!$B$2,AH70,R70+T70+AI70))</f>
        <v>38330.6160283278</v>
      </c>
      <c r="BD70" s="1" t="n">
        <f aca="false">MIN(Z70,AG70,AZ70)</f>
        <v>31504.4205915898</v>
      </c>
      <c r="BE70" s="0" t="str">
        <f aca="false">IF(BD70=Z70,"Cash",IF(BD70=AG70,"Loan","Lease then buy out"))</f>
        <v>Cash</v>
      </c>
    </row>
    <row r="71" customFormat="false" ht="15" hidden="false" customHeight="false" outlineLevel="0" collapsed="false">
      <c r="A71" s="0" t="s">
        <v>51</v>
      </c>
      <c r="B71" s="0" t="s">
        <v>133</v>
      </c>
      <c r="C71" s="0" t="n">
        <v>3</v>
      </c>
      <c r="D71" s="0" t="n">
        <v>0</v>
      </c>
      <c r="E71" s="0" t="n">
        <v>29500</v>
      </c>
      <c r="F71" s="0" t="n">
        <v>3959</v>
      </c>
      <c r="G71" s="0" t="n">
        <v>439</v>
      </c>
      <c r="H71" s="0" t="n">
        <v>36</v>
      </c>
      <c r="I71" s="0" t="n">
        <v>23</v>
      </c>
      <c r="J71" s="0" t="n">
        <v>10711</v>
      </c>
      <c r="K71" s="0" t="s">
        <v>107</v>
      </c>
      <c r="L71" s="0" t="n">
        <v>91.4</v>
      </c>
      <c r="M71" s="0" t="n">
        <f aca="false">MAX(Assumptions!$B$33,Assumptions!$B$30-Assumptions!$B$31*(H71-36)-IF(D71=1,Assumptions!$B$32,0))</f>
        <v>0.57</v>
      </c>
      <c r="N71" s="0" t="n">
        <f aca="false">E71*M71</f>
        <v>16815</v>
      </c>
      <c r="O71" s="0" t="n">
        <f aca="false">1-POWER(J71/E71,0.1)</f>
        <v>0.0963488609989158</v>
      </c>
      <c r="P71" s="0" t="n">
        <f aca="false">E71*(1+Assumptions!$B$8)+Assumptions!$B$9</f>
        <v>31375</v>
      </c>
      <c r="Q71" s="0" t="n">
        <f aca="false">IF(D71=1,Assumptions!$B$14*33.7,Assumptions!$B$13)</f>
        <v>3.1</v>
      </c>
      <c r="R71" s="0" t="n">
        <f aca="false">(Assumptions!$B$10/I71)*Q71</f>
        <v>1347.82608695652</v>
      </c>
      <c r="S71" s="0" t="n">
        <f aca="false">Assumptions!$B$15+Assumptions!$B$17</f>
        <v>1750</v>
      </c>
      <c r="T71" s="0" t="n">
        <f aca="false">Assumptions!$B$15*(1+Assumptions!$B$16)+Assumptions!$B$17</f>
        <v>1942</v>
      </c>
      <c r="U71" s="0" t="n">
        <f aca="false">IF(OR(C71&gt;Assumptions!$B$11,Assumptions!$B$10*C71&gt;Assumptions!$B$12),1,0)</f>
        <v>0</v>
      </c>
      <c r="V71" s="0" t="n">
        <f aca="false">MAX(0.6,1-Assumptions!$B$22*MAX(0,(Assumptions!$B$10-10000)*C71)/10000)</f>
        <v>1</v>
      </c>
      <c r="W71" s="0" t="n">
        <f aca="false">IF(U71=1,Assumptions!$B$23,MAX(Assumptions!$B$23,E71*POWER(1-O71,C71)*V71))</f>
        <v>21768.2951346311</v>
      </c>
      <c r="X71" s="0" t="n">
        <f aca="true">SUMPRODUCT((ROW(INDIRECT("1:"&amp;C71))&gt;Assumptions!$B$20)*Assumptions!$B$18*POWER(Assumptions!$B$19,ROW(INDIRECT("1:"&amp;C71))-Assumptions!$B$20-1)*IF(ROW(INDIRECT("1:"&amp;C71))&gt;Assumptions!$B$11,Assumptions!$B$21,1)/POWER(1+Assumptions!$B$2,ROW(INDIRECT("1:"&amp;C71))))</f>
        <v>0</v>
      </c>
      <c r="Y71" s="1" t="n">
        <f aca="false">-PV(Assumptions!$B$2,C71,R71+S71)+X71</f>
        <v>8483.79658525256</v>
      </c>
      <c r="Z71" s="1" t="n">
        <f aca="false">P71+Y71-(W71/POWER(1+Assumptions!$B$2,C71))</f>
        <v>20892.41988925</v>
      </c>
      <c r="AA71" s="0" t="n">
        <f aca="false">P71*Assumptions!$B$7</f>
        <v>3137.5</v>
      </c>
      <c r="AB71" s="0" t="n">
        <f aca="false">P71-AA71</f>
        <v>28237.5</v>
      </c>
      <c r="AC71" s="1" t="n">
        <f aca="false">PMT(Assumptions!$B$5,Assumptions!$B$6,-AB71)</f>
        <v>559.003128374892</v>
      </c>
      <c r="AD71" s="0" t="n">
        <f aca="false">C71*12</f>
        <v>36</v>
      </c>
      <c r="AE71" s="0" t="n">
        <f aca="false">MIN(Assumptions!$B$6,AD71)</f>
        <v>36</v>
      </c>
      <c r="AF71" s="1" t="n">
        <f aca="false">IF(AD71&gt;=Assumptions!$B$6,0,-PV(Assumptions!$B$5,Assumptions!$B$6-AD71,AC71))</f>
        <v>12486.6546676281</v>
      </c>
      <c r="AG71" s="1" t="n">
        <f aca="false">AA71+(-PV(Assumptions!$B$3,AE71,AC71))+Y71-((W71-AF71)/POWER(1+Assumptions!$B$2,C71))</f>
        <v>22269.9633871567</v>
      </c>
      <c r="AH71" s="0" t="n">
        <f aca="false">H71/12</f>
        <v>3</v>
      </c>
      <c r="AI71" s="0" t="n">
        <f aca="false">MAX(0,Assumptions!$B$10-Assumptions!$B$24)*Assumptions!$B$25</f>
        <v>0</v>
      </c>
      <c r="AJ71" s="1" t="n">
        <f aca="false">F71+Assumptions!$B$27+(-PV(Assumptions!$B$3,H71-1,G71))</f>
        <v>18991.2046406805</v>
      </c>
      <c r="AK71" s="0" t="n">
        <f aca="false">CEILING(C71/AH71,1)</f>
        <v>1</v>
      </c>
      <c r="AL71" s="0" t="n">
        <f aca="false">(1+Assumptions!$B$26)/POWER(1+Assumptions!$B$2,AH71)</f>
        <v>0.906135810905202</v>
      </c>
      <c r="AM71" s="0" t="n">
        <f aca="false">IF(ABS(1-AL71)&lt;0.000000000001,AK71,(1-POWER(AL71,AK71))/(1-AL71))</f>
        <v>1</v>
      </c>
      <c r="AN71" s="0" t="n">
        <f aca="false">1/POWER(1+Assumptions!$B$2,AH71)</f>
        <v>0.871284433562695</v>
      </c>
      <c r="AO71" s="0" t="n">
        <f aca="false">IF(ABS(1-AN71)&lt;0.000000000001,AK71,AN71*(1-POWER(AN71,AK71))/(1-AN71))</f>
        <v>0.871284433562695</v>
      </c>
      <c r="AP71" s="1" t="n">
        <f aca="false">AJ71*AM71+Assumptions!$B$28*AO71+(-PV(Assumptions!$B$2,C71,R71+T71+AI71))</f>
        <v>28349.3317813999</v>
      </c>
      <c r="AQ71" s="0" t="n">
        <f aca="false">N71*(1+Assumptions!$B$8)</f>
        <v>17655.75</v>
      </c>
      <c r="AR71" s="1" t="n">
        <f aca="false">PMT(Assumptions!$B$5,Assumptions!$B$29,-AQ71)</f>
        <v>545.077581745589</v>
      </c>
      <c r="AS71" s="0" t="n">
        <f aca="false">MAX(0,AD71-H71)</f>
        <v>0</v>
      </c>
      <c r="AT71" s="0" t="n">
        <f aca="false">MIN(Assumptions!$B$29,AS71)</f>
        <v>0</v>
      </c>
      <c r="AU71" s="1" t="n">
        <f aca="false">IF(AS71&gt;=Assumptions!$B$29,0,-PV(Assumptions!$B$5,Assumptions!$B$29-AS71,AR71))</f>
        <v>17655.7499999999</v>
      </c>
      <c r="AV71" s="1" t="n">
        <f aca="false">(-PV(Assumptions!$B$3,AT71,AR71))/POWER(1+Assumptions!$B$2,AH71)</f>
        <v>0</v>
      </c>
      <c r="AW71" s="1" t="n">
        <f aca="false">-PV(Assumptions!$B$2,AH71,T71+AI71)</f>
        <v>5318.41766002654</v>
      </c>
      <c r="AX71" s="1" t="n">
        <f aca="false">(-PV(Assumptions!$B$2,C71,S71))-(-PV(Assumptions!$B$2,AH71,S71))</f>
        <v>0</v>
      </c>
      <c r="AY71" s="1" t="n">
        <f aca="false">AJ71+AW71+AX71+(-PV(Assumptions!$B$2,C71,R71))+X71-(W71/POWER(1+Assumptions!$B$2,C71))</f>
        <v>9034.44131197219</v>
      </c>
      <c r="AZ71" s="1" t="n">
        <f aca="false">AY71+AV71+(AU71/POWER(1+Assumptions!$B$2,C71))</f>
        <v>24417.6214498467</v>
      </c>
      <c r="BA71" s="0" t="n">
        <f aca="false">AQ71/POWER(1+Assumptions!$B$2,AH71)</f>
        <v>15383.1801378745</v>
      </c>
      <c r="BB71" s="1" t="n">
        <f aca="false">AY71+BA71</f>
        <v>24417.6214498467</v>
      </c>
      <c r="BC71" s="1" t="n">
        <f aca="false">AJ71+Assumptions!$B$28/POWER(1+Assumptions!$B$2,AH71)+(-PV(Assumptions!$B$2,AH71,R71+T71+AI71))</f>
        <v>28349.3317813999</v>
      </c>
      <c r="BD71" s="1" t="n">
        <f aca="false">MIN(Z71,AG71,AZ71)</f>
        <v>20892.41988925</v>
      </c>
      <c r="BE71" s="0" t="str">
        <f aca="false">IF(BD71=Z71,"Cash",IF(BD71=AG71,"Loan","Lease then buy out"))</f>
        <v>Cash</v>
      </c>
    </row>
    <row r="72" customFormat="false" ht="15" hidden="false" customHeight="false" outlineLevel="0" collapsed="false">
      <c r="A72" s="0" t="s">
        <v>63</v>
      </c>
      <c r="B72" s="0" t="s">
        <v>134</v>
      </c>
      <c r="C72" s="0" t="n">
        <v>3</v>
      </c>
      <c r="D72" s="0" t="n">
        <v>0</v>
      </c>
      <c r="E72" s="0" t="n">
        <v>27468</v>
      </c>
      <c r="F72" s="0" t="n">
        <v>3000</v>
      </c>
      <c r="G72" s="0" t="n">
        <v>438</v>
      </c>
      <c r="H72" s="0" t="n">
        <v>36</v>
      </c>
      <c r="I72" s="0" t="n">
        <v>37</v>
      </c>
      <c r="J72" s="0" t="n">
        <v>9648</v>
      </c>
      <c r="K72" s="0" t="s">
        <v>99</v>
      </c>
      <c r="L72" s="0" t="n">
        <v>87.3</v>
      </c>
      <c r="M72" s="0" t="n">
        <f aca="false">MAX(Assumptions!$B$33,Assumptions!$B$30-Assumptions!$B$31*(H72-36)-IF(D72=1,Assumptions!$B$32,0))</f>
        <v>0.57</v>
      </c>
      <c r="N72" s="0" t="n">
        <f aca="false">E72*M72</f>
        <v>15656.76</v>
      </c>
      <c r="O72" s="0" t="n">
        <f aca="false">1-POWER(J72/E72,0.1)</f>
        <v>0.0993396883674095</v>
      </c>
      <c r="P72" s="0" t="n">
        <f aca="false">E72*(1+Assumptions!$B$8)+Assumptions!$B$9</f>
        <v>29241.4</v>
      </c>
      <c r="Q72" s="0" t="n">
        <f aca="false">IF(D72=1,Assumptions!$B$14*33.7,Assumptions!$B$13)</f>
        <v>3.1</v>
      </c>
      <c r="R72" s="0" t="n">
        <f aca="false">(Assumptions!$B$10/I72)*Q72</f>
        <v>837.837837837838</v>
      </c>
      <c r="S72" s="0" t="n">
        <f aca="false">Assumptions!$B$15+Assumptions!$B$17</f>
        <v>1750</v>
      </c>
      <c r="T72" s="0" t="n">
        <f aca="false">Assumptions!$B$15*(1+Assumptions!$B$16)+Assumptions!$B$17</f>
        <v>1942</v>
      </c>
      <c r="U72" s="0" t="n">
        <f aca="false">IF(OR(C72&gt;Assumptions!$B$11,Assumptions!$B$10*C72&gt;Assumptions!$B$12),1,0)</f>
        <v>0</v>
      </c>
      <c r="V72" s="0" t="n">
        <f aca="false">MAX(0.6,1-Assumptions!$B$22*MAX(0,(Assumptions!$B$10-10000)*C72)/10000)</f>
        <v>1</v>
      </c>
      <c r="W72" s="0" t="n">
        <f aca="false">IF(U72=1,Assumptions!$B$23,MAX(Assumptions!$B$23,E72*POWER(1-O72,C72)*V72))</f>
        <v>20068.2783231024</v>
      </c>
      <c r="X72" s="0" t="n">
        <f aca="true">SUMPRODUCT((ROW(INDIRECT("1:"&amp;C72))&gt;Assumptions!$B$20)*Assumptions!$B$18*POWER(Assumptions!$B$19,ROW(INDIRECT("1:"&amp;C72))-Assumptions!$B$20-1)*IF(ROW(INDIRECT("1:"&amp;C72))&gt;Assumptions!$B$11,Assumptions!$B$21,1)/POWER(1+Assumptions!$B$2,ROW(INDIRECT("1:"&amp;C72))))</f>
        <v>0</v>
      </c>
      <c r="Y72" s="1" t="n">
        <f aca="false">-PV(Assumptions!$B$2,C72,R72+S72)+X72</f>
        <v>7087.12793925935</v>
      </c>
      <c r="Z72" s="1" t="n">
        <f aca="false">P72+Y72-(W72/POWER(1+Assumptions!$B$2,C72))</f>
        <v>18843.3494279366</v>
      </c>
      <c r="AA72" s="0" t="n">
        <f aca="false">P72*Assumptions!$B$7</f>
        <v>2924.14</v>
      </c>
      <c r="AB72" s="0" t="n">
        <f aca="false">P72-AA72</f>
        <v>26317.26</v>
      </c>
      <c r="AC72" s="1" t="n">
        <f aca="false">PMT(Assumptions!$B$5,Assumptions!$B$6,-AB72)</f>
        <v>520.989133962122</v>
      </c>
      <c r="AD72" s="0" t="n">
        <f aca="false">C72*12</f>
        <v>36</v>
      </c>
      <c r="AE72" s="0" t="n">
        <f aca="false">MIN(Assumptions!$B$6,AD72)</f>
        <v>36</v>
      </c>
      <c r="AF72" s="1" t="n">
        <f aca="false">IF(AD72&gt;=Assumptions!$B$6,0,-PV(Assumptions!$B$5,Assumptions!$B$6-AD72,AC72))</f>
        <v>11637.5223521269</v>
      </c>
      <c r="AG72" s="1" t="n">
        <f aca="false">AA72+(-PV(Assumptions!$B$3,AE72,AC72))+Y72-((W72-AF72)/POWER(1+Assumptions!$B$2,C72))</f>
        <v>20127.2155774088</v>
      </c>
      <c r="AH72" s="0" t="n">
        <f aca="false">H72/12</f>
        <v>3</v>
      </c>
      <c r="AI72" s="0" t="n">
        <f aca="false">MAX(0,Assumptions!$B$10-Assumptions!$B$24)*Assumptions!$B$25</f>
        <v>0</v>
      </c>
      <c r="AJ72" s="1" t="n">
        <f aca="false">F72+Assumptions!$B$27+(-PV(Assumptions!$B$3,H72-1,G72))</f>
        <v>17999.5572496994</v>
      </c>
      <c r="AK72" s="0" t="n">
        <f aca="false">CEILING(C72/AH72,1)</f>
        <v>1</v>
      </c>
      <c r="AL72" s="0" t="n">
        <f aca="false">(1+Assumptions!$B$26)/POWER(1+Assumptions!$B$2,AH72)</f>
        <v>0.906135810905202</v>
      </c>
      <c r="AM72" s="0" t="n">
        <f aca="false">IF(ABS(1-AL72)&lt;0.000000000001,AK72,(1-POWER(AL72,AK72))/(1-AL72))</f>
        <v>1</v>
      </c>
      <c r="AN72" s="0" t="n">
        <f aca="false">1/POWER(1+Assumptions!$B$2,AH72)</f>
        <v>0.871284433562695</v>
      </c>
      <c r="AO72" s="0" t="n">
        <f aca="false">IF(ABS(1-AN72)&lt;0.000000000001,AK72,AN72*(1-POWER(AN72,AK72))/(1-AN72))</f>
        <v>0.871284433562695</v>
      </c>
      <c r="AP72" s="1" t="n">
        <f aca="false">AJ72*AM72+Assumptions!$B$28*AO72+(-PV(Assumptions!$B$2,C72,R72+T72+AI72))</f>
        <v>25961.0157444256</v>
      </c>
      <c r="AQ72" s="0" t="n">
        <f aca="false">N72*(1+Assumptions!$B$8)</f>
        <v>16439.598</v>
      </c>
      <c r="AR72" s="1" t="n">
        <f aca="false">PMT(Assumptions!$B$5,Assumptions!$B$29,-AQ72)</f>
        <v>507.531898826706</v>
      </c>
      <c r="AS72" s="0" t="n">
        <f aca="false">MAX(0,AD72-H72)</f>
        <v>0</v>
      </c>
      <c r="AT72" s="0" t="n">
        <f aca="false">MIN(Assumptions!$B$29,AS72)</f>
        <v>0</v>
      </c>
      <c r="AU72" s="1" t="n">
        <f aca="false">IF(AS72&gt;=Assumptions!$B$29,0,-PV(Assumptions!$B$5,Assumptions!$B$29-AS72,AR72))</f>
        <v>16439.5979999999</v>
      </c>
      <c r="AV72" s="1" t="n">
        <f aca="false">(-PV(Assumptions!$B$3,AT72,AR72))/POWER(1+Assumptions!$B$2,AH72)</f>
        <v>0</v>
      </c>
      <c r="AW72" s="1" t="n">
        <f aca="false">-PV(Assumptions!$B$2,AH72,T72+AI72)</f>
        <v>5318.41766002654</v>
      </c>
      <c r="AX72" s="1" t="n">
        <f aca="false">(-PV(Assumptions!$B$2,C72,S72))-(-PV(Assumptions!$B$2,AH72,S72))</f>
        <v>0</v>
      </c>
      <c r="AY72" s="1" t="n">
        <f aca="false">AJ72+AW72+AX72+(-PV(Assumptions!$B$2,C72,R72))+X72-(W72/POWER(1+Assumptions!$B$2,C72))</f>
        <v>8127.32345967776</v>
      </c>
      <c r="AZ72" s="1" t="n">
        <f aca="false">AY72+AV72+(AU72/POWER(1+Assumptions!$B$2,C72))</f>
        <v>22450.8892911061</v>
      </c>
      <c r="BA72" s="0" t="n">
        <f aca="false">AQ72/POWER(1+Assumptions!$B$2,AH72)</f>
        <v>14323.5658314284</v>
      </c>
      <c r="BB72" s="1" t="n">
        <f aca="false">AY72+BA72</f>
        <v>22450.8892911062</v>
      </c>
      <c r="BC72" s="1" t="n">
        <f aca="false">AJ72+Assumptions!$B$28/POWER(1+Assumptions!$B$2,AH72)+(-PV(Assumptions!$B$2,AH72,R72+T72+AI72))</f>
        <v>25961.0157444256</v>
      </c>
      <c r="BD72" s="1" t="n">
        <f aca="false">MIN(Z72,AG72,AZ72)</f>
        <v>18843.3494279366</v>
      </c>
      <c r="BE72" s="0" t="str">
        <f aca="false">IF(BD72=Z72,"Cash",IF(BD72=AG72,"Loan","Lease then buy out"))</f>
        <v>Cash</v>
      </c>
    </row>
    <row r="73" customFormat="false" ht="15" hidden="false" customHeight="false" outlineLevel="0" collapsed="false">
      <c r="A73" s="0" t="s">
        <v>51</v>
      </c>
      <c r="B73" s="0" t="s">
        <v>135</v>
      </c>
      <c r="C73" s="0" t="n">
        <v>3</v>
      </c>
      <c r="D73" s="0" t="n">
        <v>1</v>
      </c>
      <c r="E73" s="0" t="n">
        <v>31880</v>
      </c>
      <c r="F73" s="0" t="n">
        <v>3064</v>
      </c>
      <c r="G73" s="0" t="n">
        <v>564</v>
      </c>
      <c r="H73" s="0" t="n">
        <v>36</v>
      </c>
      <c r="I73" s="0" t="n">
        <v>115</v>
      </c>
      <c r="J73" s="0" t="n">
        <v>7551</v>
      </c>
      <c r="K73" s="0" t="s">
        <v>99</v>
      </c>
      <c r="L73" s="0" t="n">
        <v>148.9</v>
      </c>
      <c r="M73" s="0" t="n">
        <f aca="false">MAX(Assumptions!$B$33,Assumptions!$B$30-Assumptions!$B$31*(H73-36)-IF(D73=1,Assumptions!$B$32,0))</f>
        <v>0.49</v>
      </c>
      <c r="N73" s="0" t="n">
        <f aca="false">E73*M73</f>
        <v>15621.2</v>
      </c>
      <c r="O73" s="0" t="n">
        <f aca="false">1-POWER(J73/E73,0.1)</f>
        <v>0.134138128531617</v>
      </c>
      <c r="P73" s="0" t="n">
        <f aca="false">E73*(1+Assumptions!$B$8)+Assumptions!$B$9</f>
        <v>33874</v>
      </c>
      <c r="Q73" s="0" t="n">
        <f aca="false">IF(D73=1,Assumptions!$B$14*33.7,Assumptions!$B$13)</f>
        <v>5.729</v>
      </c>
      <c r="R73" s="0" t="n">
        <f aca="false">(Assumptions!$B$10/I73)*Q73</f>
        <v>498.173913043478</v>
      </c>
      <c r="S73" s="0" t="n">
        <f aca="false">Assumptions!$B$15+Assumptions!$B$17</f>
        <v>1750</v>
      </c>
      <c r="T73" s="0" t="n">
        <f aca="false">Assumptions!$B$15*(1+Assumptions!$B$16)+Assumptions!$B$17</f>
        <v>1942</v>
      </c>
      <c r="U73" s="0" t="n">
        <f aca="false">IF(OR(C73&gt;Assumptions!$B$11,Assumptions!$B$10*C73&gt;Assumptions!$B$12),1,0)</f>
        <v>0</v>
      </c>
      <c r="V73" s="0" t="n">
        <f aca="false">MAX(0.6,1-Assumptions!$B$22*MAX(0,(Assumptions!$B$10-10000)*C73)/10000)</f>
        <v>1</v>
      </c>
      <c r="W73" s="0" t="n">
        <f aca="false">IF(U73=1,Assumptions!$B$23,MAX(Assumptions!$B$23,E73*POWER(1-O73,C73)*V73))</f>
        <v>20694.9394463344</v>
      </c>
      <c r="X73" s="0" t="n">
        <f aca="true">SUMPRODUCT((ROW(INDIRECT("1:"&amp;C73))&gt;Assumptions!$B$20)*Assumptions!$B$18*POWER(Assumptions!$B$19,ROW(INDIRECT("1:"&amp;C73))-Assumptions!$B$20-1)*IF(ROW(INDIRECT("1:"&amp;C73))&gt;Assumptions!$B$11,Assumptions!$B$21,1)/POWER(1+Assumptions!$B$2,ROW(INDIRECT("1:"&amp;C73))))</f>
        <v>0</v>
      </c>
      <c r="Y73" s="1" t="n">
        <f aca="false">-PV(Assumptions!$B$2,C73,R73+S73)+X73</f>
        <v>6156.91443972266</v>
      </c>
      <c r="Z73" s="1" t="n">
        <f aca="false">P73+Y73-(W73/POWER(1+Assumptions!$B$2,C73))</f>
        <v>21999.7358466089</v>
      </c>
      <c r="AA73" s="0" t="n">
        <f aca="false">P73*Assumptions!$B$7</f>
        <v>3387.4</v>
      </c>
      <c r="AB73" s="0" t="n">
        <f aca="false">P73-AA73</f>
        <v>30486.6</v>
      </c>
      <c r="AC73" s="1" t="n">
        <f aca="false">PMT(Assumptions!$B$5,Assumptions!$B$6,-AB73)</f>
        <v>603.527393484338</v>
      </c>
      <c r="AD73" s="0" t="n">
        <f aca="false">C73*12</f>
        <v>36</v>
      </c>
      <c r="AE73" s="0" t="n">
        <f aca="false">MIN(Assumptions!$B$6,AD73)</f>
        <v>36</v>
      </c>
      <c r="AF73" s="1" t="n">
        <f aca="false">IF(AD73&gt;=Assumptions!$B$6,0,-PV(Assumptions!$B$5,Assumptions!$B$6-AD73,AC73))</f>
        <v>13481.2092497604</v>
      </c>
      <c r="AG73" s="1" t="n">
        <f aca="false">AA73+(-PV(Assumptions!$B$3,AE73,AC73))+Y73-((W73-AF73)/POWER(1+Assumptions!$B$2,C73))</f>
        <v>23486.9998608908</v>
      </c>
      <c r="AH73" s="0" t="n">
        <f aca="false">H73/12</f>
        <v>3</v>
      </c>
      <c r="AI73" s="0" t="n">
        <f aca="false">MAX(0,Assumptions!$B$10-Assumptions!$B$24)*Assumptions!$B$25</f>
        <v>0</v>
      </c>
      <c r="AJ73" s="1" t="n">
        <f aca="false">F73+Assumptions!$B$27+(-PV(Assumptions!$B$3,H73-1,G73))</f>
        <v>22177.1285133116</v>
      </c>
      <c r="AK73" s="0" t="n">
        <f aca="false">CEILING(C73/AH73,1)</f>
        <v>1</v>
      </c>
      <c r="AL73" s="0" t="n">
        <f aca="false">(1+Assumptions!$B$26)/POWER(1+Assumptions!$B$2,AH73)</f>
        <v>0.906135810905202</v>
      </c>
      <c r="AM73" s="0" t="n">
        <f aca="false">IF(ABS(1-AL73)&lt;0.000000000001,AK73,(1-POWER(AL73,AK73))/(1-AL73))</f>
        <v>1</v>
      </c>
      <c r="AN73" s="0" t="n">
        <f aca="false">1/POWER(1+Assumptions!$B$2,AH73)</f>
        <v>0.871284433562695</v>
      </c>
      <c r="AO73" s="0" t="n">
        <f aca="false">IF(ABS(1-AN73)&lt;0.000000000001,AK73,AN73*(1-POWER(AN73,AK73))/(1-AN73))</f>
        <v>0.871284433562695</v>
      </c>
      <c r="AP73" s="1" t="n">
        <f aca="false">AJ73*AM73+Assumptions!$B$28*AO73+(-PV(Assumptions!$B$2,C73,R73+T73+AI73))</f>
        <v>29208.3735085011</v>
      </c>
      <c r="AQ73" s="0" t="n">
        <f aca="false">N73*(1+Assumptions!$B$8)</f>
        <v>16402.26</v>
      </c>
      <c r="AR73" s="1" t="n">
        <f aca="false">PMT(Assumptions!$B$5,Assumptions!$B$29,-AQ73)</f>
        <v>506.379180491477</v>
      </c>
      <c r="AS73" s="0" t="n">
        <f aca="false">MAX(0,AD73-H73)</f>
        <v>0</v>
      </c>
      <c r="AT73" s="0" t="n">
        <f aca="false">MIN(Assumptions!$B$29,AS73)</f>
        <v>0</v>
      </c>
      <c r="AU73" s="1" t="n">
        <f aca="false">IF(AS73&gt;=Assumptions!$B$29,0,-PV(Assumptions!$B$5,Assumptions!$B$29-AS73,AR73))</f>
        <v>16402.2599999999</v>
      </c>
      <c r="AV73" s="1" t="n">
        <f aca="false">(-PV(Assumptions!$B$3,AT73,AR73))/POWER(1+Assumptions!$B$2,AH73)</f>
        <v>0</v>
      </c>
      <c r="AW73" s="1" t="n">
        <f aca="false">-PV(Assumptions!$B$2,AH73,T73+AI73)</f>
        <v>5318.41766002654</v>
      </c>
      <c r="AX73" s="1" t="n">
        <f aca="false">(-PV(Assumptions!$B$2,C73,S73))-(-PV(Assumptions!$B$2,AH73,S73))</f>
        <v>0</v>
      </c>
      <c r="AY73" s="1" t="n">
        <f aca="false">AJ73+AW73+AX73+(-PV(Assumptions!$B$2,C73,R73))+X73-(W73/POWER(1+Assumptions!$B$2,C73))</f>
        <v>10828.6811419622</v>
      </c>
      <c r="AZ73" s="1" t="n">
        <f aca="false">AY73+AV73+(AU73/POWER(1+Assumptions!$B$2,C73))</f>
        <v>25119.7149552102</v>
      </c>
      <c r="BA73" s="0" t="n">
        <f aca="false">AQ73/POWER(1+Assumptions!$B$2,AH73)</f>
        <v>14291.033813248</v>
      </c>
      <c r="BB73" s="1" t="n">
        <f aca="false">AY73+BA73</f>
        <v>25119.7149552103</v>
      </c>
      <c r="BC73" s="1" t="n">
        <f aca="false">AJ73+Assumptions!$B$28/POWER(1+Assumptions!$B$2,AH73)+(-PV(Assumptions!$B$2,AH73,R73+T73+AI73))</f>
        <v>29208.3735085011</v>
      </c>
      <c r="BD73" s="1" t="n">
        <f aca="false">MIN(Z73,AG73,AZ73)</f>
        <v>21999.7358466089</v>
      </c>
      <c r="BE73" s="0" t="str">
        <f aca="false">IF(BD73=Z73,"Cash",IF(BD73=AG73,"Loan","Lease then buy out"))</f>
        <v>Cash</v>
      </c>
    </row>
    <row r="74" customFormat="false" ht="15" hidden="false" customHeight="false" outlineLevel="0" collapsed="false">
      <c r="A74" s="0" t="s">
        <v>41</v>
      </c>
      <c r="B74" s="0" t="s">
        <v>136</v>
      </c>
      <c r="C74" s="0" t="n">
        <v>3</v>
      </c>
      <c r="D74" s="0" t="n">
        <v>0</v>
      </c>
      <c r="E74" s="0" t="n">
        <v>26900</v>
      </c>
      <c r="F74" s="0" t="n">
        <v>3959</v>
      </c>
      <c r="G74" s="0" t="n">
        <v>439</v>
      </c>
      <c r="H74" s="0" t="n">
        <v>36</v>
      </c>
      <c r="I74" s="0" t="n">
        <v>23</v>
      </c>
      <c r="J74" s="0" t="n">
        <v>10095</v>
      </c>
      <c r="K74" s="0" t="s">
        <v>99</v>
      </c>
      <c r="L74" s="0" t="n">
        <v>87.2</v>
      </c>
      <c r="M74" s="0" t="n">
        <f aca="false">MAX(Assumptions!$B$33,Assumptions!$B$30-Assumptions!$B$31*(H74-36)-IF(D74=1,Assumptions!$B$32,0))</f>
        <v>0.57</v>
      </c>
      <c r="N74" s="0" t="n">
        <f aca="false">E74*M74</f>
        <v>15333</v>
      </c>
      <c r="O74" s="0" t="n">
        <f aca="false">1-POWER(J74/E74,0.1)</f>
        <v>0.0933588965521325</v>
      </c>
      <c r="P74" s="0" t="n">
        <f aca="false">E74*(1+Assumptions!$B$8)+Assumptions!$B$9</f>
        <v>28645</v>
      </c>
      <c r="Q74" s="0" t="n">
        <f aca="false">IF(D74=1,Assumptions!$B$14*33.7,Assumptions!$B$13)</f>
        <v>3.1</v>
      </c>
      <c r="R74" s="0" t="n">
        <f aca="false">(Assumptions!$B$10/I74)*Q74</f>
        <v>1347.82608695652</v>
      </c>
      <c r="S74" s="0" t="n">
        <f aca="false">Assumptions!$B$15+Assumptions!$B$17</f>
        <v>1750</v>
      </c>
      <c r="T74" s="0" t="n">
        <f aca="false">Assumptions!$B$15*(1+Assumptions!$B$16)+Assumptions!$B$17</f>
        <v>1942</v>
      </c>
      <c r="U74" s="0" t="n">
        <f aca="false">IF(OR(C74&gt;Assumptions!$B$11,Assumptions!$B$10*C74&gt;Assumptions!$B$12),1,0)</f>
        <v>0</v>
      </c>
      <c r="V74" s="0" t="n">
        <f aca="false">MAX(0.6,1-Assumptions!$B$22*MAX(0,(Assumptions!$B$10-10000)*C74)/10000)</f>
        <v>1</v>
      </c>
      <c r="W74" s="0" t="n">
        <f aca="false">IF(U74=1,Assumptions!$B$23,MAX(Assumptions!$B$23,E74*POWER(1-O74,C74)*V74))</f>
        <v>20047.4201801525</v>
      </c>
      <c r="X74" s="0" t="n">
        <f aca="true">SUMPRODUCT((ROW(INDIRECT("1:"&amp;C74))&gt;Assumptions!$B$20)*Assumptions!$B$18*POWER(Assumptions!$B$19,ROW(INDIRECT("1:"&amp;C74))-Assumptions!$B$20-1)*IF(ROW(INDIRECT("1:"&amp;C74))&gt;Assumptions!$B$11,Assumptions!$B$21,1)/POWER(1+Assumptions!$B$2,ROW(INDIRECT("1:"&amp;C74))))</f>
        <v>0</v>
      </c>
      <c r="Y74" s="1" t="n">
        <f aca="false">-PV(Assumptions!$B$2,C74,R74+S74)+X74</f>
        <v>8483.79658525256</v>
      </c>
      <c r="Z74" s="1" t="n">
        <f aca="false">P74+Y74-(W74/POWER(1+Assumptions!$B$2,C74))</f>
        <v>19661.791449195</v>
      </c>
      <c r="AA74" s="0" t="n">
        <f aca="false">P74*Assumptions!$B$7</f>
        <v>2864.5</v>
      </c>
      <c r="AB74" s="0" t="n">
        <f aca="false">P74-AA74</f>
        <v>25780.5</v>
      </c>
      <c r="AC74" s="1" t="n">
        <f aca="false">PMT(Assumptions!$B$5,Assumptions!$B$6,-AB74)</f>
        <v>510.363174893985</v>
      </c>
      <c r="AD74" s="0" t="n">
        <f aca="false">C74*12</f>
        <v>36</v>
      </c>
      <c r="AE74" s="0" t="n">
        <f aca="false">MIN(Assumptions!$B$6,AD74)</f>
        <v>36</v>
      </c>
      <c r="AF74" s="1" t="n">
        <f aca="false">IF(AD74&gt;=Assumptions!$B$6,0,-PV(Assumptions!$B$5,Assumptions!$B$6-AD74,AC74))</f>
        <v>11400.16646866</v>
      </c>
      <c r="AG74" s="1" t="n">
        <f aca="false">AA74+(-PV(Assumptions!$B$3,AE74,AC74))+Y74-((W74-AF74)/POWER(1+Assumptions!$B$2,C74))</f>
        <v>20919.4721981206</v>
      </c>
      <c r="AH74" s="0" t="n">
        <f aca="false">H74/12</f>
        <v>3</v>
      </c>
      <c r="AI74" s="0" t="n">
        <f aca="false">MAX(0,Assumptions!$B$10-Assumptions!$B$24)*Assumptions!$B$25</f>
        <v>0</v>
      </c>
      <c r="AJ74" s="1" t="n">
        <f aca="false">F74+Assumptions!$B$27+(-PV(Assumptions!$B$3,H74-1,G74))</f>
        <v>18991.2046406805</v>
      </c>
      <c r="AK74" s="0" t="n">
        <f aca="false">CEILING(C74/AH74,1)</f>
        <v>1</v>
      </c>
      <c r="AL74" s="0" t="n">
        <f aca="false">(1+Assumptions!$B$26)/POWER(1+Assumptions!$B$2,AH74)</f>
        <v>0.906135810905202</v>
      </c>
      <c r="AM74" s="0" t="n">
        <f aca="false">IF(ABS(1-AL74)&lt;0.000000000001,AK74,(1-POWER(AL74,AK74))/(1-AL74))</f>
        <v>1</v>
      </c>
      <c r="AN74" s="0" t="n">
        <f aca="false">1/POWER(1+Assumptions!$B$2,AH74)</f>
        <v>0.871284433562695</v>
      </c>
      <c r="AO74" s="0" t="n">
        <f aca="false">IF(ABS(1-AN74)&lt;0.000000000001,AK74,AN74*(1-POWER(AN74,AK74))/(1-AN74))</f>
        <v>0.871284433562695</v>
      </c>
      <c r="AP74" s="1" t="n">
        <f aca="false">AJ74*AM74+Assumptions!$B$28*AO74+(-PV(Assumptions!$B$2,C74,R74+T74+AI74))</f>
        <v>28349.3317813999</v>
      </c>
      <c r="AQ74" s="0" t="n">
        <f aca="false">N74*(1+Assumptions!$B$8)</f>
        <v>16099.65</v>
      </c>
      <c r="AR74" s="1" t="n">
        <f aca="false">PMT(Assumptions!$B$5,Assumptions!$B$29,-AQ74)</f>
        <v>497.036845727333</v>
      </c>
      <c r="AS74" s="0" t="n">
        <f aca="false">MAX(0,AD74-H74)</f>
        <v>0</v>
      </c>
      <c r="AT74" s="0" t="n">
        <f aca="false">MIN(Assumptions!$B$29,AS74)</f>
        <v>0</v>
      </c>
      <c r="AU74" s="1" t="n">
        <f aca="false">IF(AS74&gt;=Assumptions!$B$29,0,-PV(Assumptions!$B$5,Assumptions!$B$29-AS74,AR74))</f>
        <v>16099.6499999999</v>
      </c>
      <c r="AV74" s="1" t="n">
        <f aca="false">(-PV(Assumptions!$B$3,AT74,AR74))/POWER(1+Assumptions!$B$2,AH74)</f>
        <v>0</v>
      </c>
      <c r="AW74" s="1" t="n">
        <f aca="false">-PV(Assumptions!$B$2,AH74,T74+AI74)</f>
        <v>5318.41766002654</v>
      </c>
      <c r="AX74" s="1" t="n">
        <f aca="false">(-PV(Assumptions!$B$2,C74,S74))-(-PV(Assumptions!$B$2,AH74,S74))</f>
        <v>0</v>
      </c>
      <c r="AY74" s="1" t="n">
        <f aca="false">AJ74+AW74+AX74+(-PV(Assumptions!$B$2,C74,R74))+X74-(W74/POWER(1+Assumptions!$B$2,C74))</f>
        <v>10533.8128719173</v>
      </c>
      <c r="AZ74" s="1" t="n">
        <f aca="false">AY74+AV74+(AU74/POWER(1+Assumptions!$B$2,C74))</f>
        <v>24561.1873027248</v>
      </c>
      <c r="BA74" s="0" t="n">
        <f aca="false">AQ74/POWER(1+Assumptions!$B$2,AH74)</f>
        <v>14027.3744308076</v>
      </c>
      <c r="BB74" s="1" t="n">
        <f aca="false">AY74+BA74</f>
        <v>24561.1873027249</v>
      </c>
      <c r="BC74" s="1" t="n">
        <f aca="false">AJ74+Assumptions!$B$28/POWER(1+Assumptions!$B$2,AH74)+(-PV(Assumptions!$B$2,AH74,R74+T74+AI74))</f>
        <v>28349.3317813999</v>
      </c>
      <c r="BD74" s="1" t="n">
        <f aca="false">MIN(Z74,AG74,AZ74)</f>
        <v>19661.791449195</v>
      </c>
      <c r="BE74" s="0" t="str">
        <f aca="false">IF(BD74=Z74,"Cash",IF(BD74=AG74,"Loan","Lease then buy out"))</f>
        <v>Cash</v>
      </c>
    </row>
    <row r="75" customFormat="false" ht="15" hidden="false" customHeight="false" outlineLevel="0" collapsed="false">
      <c r="A75" s="0" t="s">
        <v>31</v>
      </c>
      <c r="B75" s="0" t="s">
        <v>32</v>
      </c>
      <c r="C75" s="0" t="n">
        <v>6</v>
      </c>
      <c r="D75" s="0" t="n">
        <v>1</v>
      </c>
      <c r="E75" s="0" t="n">
        <v>43277</v>
      </c>
      <c r="F75" s="0" t="n">
        <v>1102</v>
      </c>
      <c r="G75" s="0" t="n">
        <v>458</v>
      </c>
      <c r="H75" s="0" t="n">
        <v>36</v>
      </c>
      <c r="I75" s="0" t="n">
        <v>104</v>
      </c>
      <c r="J75" s="0" t="n">
        <v>12581</v>
      </c>
      <c r="K75" s="0" t="s">
        <v>35</v>
      </c>
      <c r="L75" s="0" t="n">
        <v>163.5</v>
      </c>
      <c r="M75" s="0" t="n">
        <f aca="false">MAX(Assumptions!$B$33,Assumptions!$B$30-Assumptions!$B$31*(H75-36)-IF(D75=1,Assumptions!$B$32,0))</f>
        <v>0.49</v>
      </c>
      <c r="N75" s="0" t="n">
        <f aca="false">E75*M75</f>
        <v>21205.73</v>
      </c>
      <c r="O75" s="0" t="n">
        <f aca="false">1-POWER(J75/E75,0.1)</f>
        <v>0.116216678370963</v>
      </c>
      <c r="P75" s="0" t="n">
        <f aca="false">E75*(1+Assumptions!$B$8)+Assumptions!$B$9</f>
        <v>45840.85</v>
      </c>
      <c r="Q75" s="0" t="n">
        <f aca="false">IF(D75=1,Assumptions!$B$14*33.7,Assumptions!$B$13)</f>
        <v>5.729</v>
      </c>
      <c r="R75" s="0" t="n">
        <f aca="false">(Assumptions!$B$10/I75)*Q75</f>
        <v>550.865384615385</v>
      </c>
      <c r="S75" s="0" t="n">
        <f aca="false">Assumptions!$B$15+Assumptions!$B$17</f>
        <v>1750</v>
      </c>
      <c r="T75" s="0" t="n">
        <f aca="false">Assumptions!$B$15*(1+Assumptions!$B$16)+Assumptions!$B$17</f>
        <v>1942</v>
      </c>
      <c r="U75" s="0" t="n">
        <f aca="false">IF(OR(C75&gt;Assumptions!$B$11,Assumptions!$B$10*C75&gt;Assumptions!$B$12),1,0)</f>
        <v>0</v>
      </c>
      <c r="V75" s="0" t="n">
        <f aca="false">MAX(0.6,1-Assumptions!$B$22*MAX(0,(Assumptions!$B$10-10000)*C75)/10000)</f>
        <v>1</v>
      </c>
      <c r="W75" s="0" t="n">
        <f aca="false">IF(U75=1,Assumptions!$B$23,MAX(Assumptions!$B$23,E75*POWER(1-O75,C75)*V75))</f>
        <v>20622.0557402569</v>
      </c>
      <c r="X75" s="0" t="n">
        <f aca="true">SUMPRODUCT((ROW(INDIRECT("1:"&amp;C75))&gt;Assumptions!$B$20)*Assumptions!$B$18*POWER(Assumptions!$B$19,ROW(INDIRECT("1:"&amp;C75))-Assumptions!$B$20-1)*IF(ROW(INDIRECT("1:"&amp;C75))&gt;Assumptions!$B$11,Assumptions!$B$21,1)/POWER(1+Assumptions!$B$2,ROW(INDIRECT("1:"&amp;C75))))</f>
        <v>2475.151938064</v>
      </c>
      <c r="Y75" s="1" t="n">
        <f aca="false">-PV(Assumptions!$B$2,C75,R75+S75)+X75</f>
        <v>14266.5209151671</v>
      </c>
      <c r="Z75" s="1" t="n">
        <f aca="false">P75+Y75-(W75/POWER(1+Assumptions!$B$2,C75))</f>
        <v>44452.4143744138</v>
      </c>
      <c r="AA75" s="0" t="n">
        <f aca="false">P75*Assumptions!$B$7</f>
        <v>4584.085</v>
      </c>
      <c r="AB75" s="0" t="n">
        <f aca="false">P75-AA75</f>
        <v>41256.765</v>
      </c>
      <c r="AC75" s="1" t="n">
        <f aca="false">PMT(Assumptions!$B$5,Assumptions!$B$6,-AB75)</f>
        <v>816.738758800452</v>
      </c>
      <c r="AD75" s="0" t="n">
        <f aca="false">C75*12</f>
        <v>72</v>
      </c>
      <c r="AE75" s="0" t="n">
        <f aca="false">MIN(Assumptions!$B$6,AD75)</f>
        <v>60</v>
      </c>
      <c r="AF75" s="0" t="n">
        <f aca="false">IF(AD75&gt;=Assumptions!$B$6,0,-PV(Assumptions!$B$5,Assumptions!$B$6-AD75,AC75))</f>
        <v>0</v>
      </c>
      <c r="AG75" s="1" t="n">
        <f aca="false">AA75+(-PV(Assumptions!$B$3,AE75,AC75))+Y75-((W75-AF75)/POWER(1+Assumptions!$B$2,C75))</f>
        <v>46792.0216483155</v>
      </c>
      <c r="AH75" s="0" t="n">
        <f aca="false">H75/12</f>
        <v>3</v>
      </c>
      <c r="AI75" s="0" t="n">
        <f aca="false">MAX(0,Assumptions!$B$10-Assumptions!$B$24)*Assumptions!$B$25</f>
        <v>0</v>
      </c>
      <c r="AJ75" s="1" t="n">
        <f aca="false">F75+Assumptions!$B$27+(-PV(Assumptions!$B$3,H75-1,G75))</f>
        <v>16754.5050693204</v>
      </c>
      <c r="AK75" s="0" t="n">
        <f aca="false">CEILING(C75/AH75,1)</f>
        <v>2</v>
      </c>
      <c r="AL75" s="0" t="n">
        <f aca="false">(1+Assumptions!$B$26)/POWER(1+Assumptions!$B$2,AH75)</f>
        <v>0.906135810905202</v>
      </c>
      <c r="AM75" s="0" t="n">
        <f aca="false">IF(ABS(1-AL75)&lt;0.000000000001,AK75,(1-POWER(AL75,AK75))/(1-AL75))</f>
        <v>1.9061358109052</v>
      </c>
      <c r="AN75" s="0" t="n">
        <f aca="false">1/POWER(1+Assumptions!$B$2,AH75)</f>
        <v>0.871284433562695</v>
      </c>
      <c r="AO75" s="0" t="n">
        <f aca="false">IF(ABS(1-AN75)&lt;0.000000000001,AK75,AN75*(1-POWER(AN75,AK75))/(1-AN75))</f>
        <v>1.63042099773136</v>
      </c>
      <c r="AP75" s="1" t="n">
        <f aca="false">AJ75*AM75+Assumptions!$B$28*AO75+(-PV(Assumptions!$B$2,C75,R75+T75+AI75))</f>
        <v>45363.8522419608</v>
      </c>
      <c r="AQ75" s="0" t="n">
        <f aca="false">N75*(1+Assumptions!$B$8)</f>
        <v>22266.0165</v>
      </c>
      <c r="AR75" s="1" t="n">
        <f aca="false">PMT(Assumptions!$B$5,Assumptions!$B$29,-AQ75)</f>
        <v>687.408149125773</v>
      </c>
      <c r="AS75" s="0" t="n">
        <f aca="false">MAX(0,AD75-H75)</f>
        <v>36</v>
      </c>
      <c r="AT75" s="0" t="n">
        <f aca="false">MIN(Assumptions!$B$29,AS75)</f>
        <v>36</v>
      </c>
      <c r="AU75" s="0" t="n">
        <f aca="false">IF(AS75&gt;=Assumptions!$B$29,0,-PV(Assumptions!$B$5,Assumptions!$B$29-AS75,AR75))</f>
        <v>0</v>
      </c>
      <c r="AV75" s="1" t="n">
        <f aca="false">(-PV(Assumptions!$B$3,AT75,AR75))/POWER(1+Assumptions!$B$2,AH75)</f>
        <v>20073.7430925296</v>
      </c>
      <c r="AW75" s="1" t="n">
        <f aca="false">-PV(Assumptions!$B$2,AH75,T75+AI75)</f>
        <v>5318.41766002654</v>
      </c>
      <c r="AX75" s="1" t="n">
        <f aca="false">(-PV(Assumptions!$B$2,C75,S75))-(-PV(Assumptions!$B$2,AH75,S75))</f>
        <v>4175.71854126704</v>
      </c>
      <c r="AY75" s="1" t="n">
        <f aca="false">AJ75+AW75+AX75+(-PV(Assumptions!$B$2,C75,R75))+X75-(W75/POWER(1+Assumptions!$B$2,C75))</f>
        <v>15891.8862257759</v>
      </c>
      <c r="AZ75" s="1" t="n">
        <f aca="false">AY75+AV75+(AU75/POWER(1+Assumptions!$B$2,C75))</f>
        <v>35965.6293183056</v>
      </c>
      <c r="BA75" s="0" t="n">
        <f aca="false">AQ75/POWER(1+Assumptions!$B$2,AH75)</f>
        <v>19400.0335739001</v>
      </c>
      <c r="BB75" s="1" t="n">
        <f aca="false">AY75+BA75</f>
        <v>35291.919799676</v>
      </c>
      <c r="BC75" s="1" t="n">
        <f aca="false">AJ75+Assumptions!$B$28/POWER(1+Assumptions!$B$2,AH75)+(-PV(Assumptions!$B$2,AH75,R75+T75+AI75))</f>
        <v>23930.0524604629</v>
      </c>
      <c r="BD75" s="1" t="n">
        <f aca="false">MIN(Z75,AG75,AZ75)</f>
        <v>35965.6293183056</v>
      </c>
      <c r="BE75" s="0" t="str">
        <f aca="false">IF(BD75=Z75,"Cash",IF(BD75=AG75,"Loan","Lease then buy out"))</f>
        <v>Lease then buy out</v>
      </c>
    </row>
    <row r="76" customFormat="false" ht="15" hidden="false" customHeight="false" outlineLevel="0" collapsed="false">
      <c r="A76" s="0" t="s">
        <v>31</v>
      </c>
      <c r="B76" s="0" t="s">
        <v>36</v>
      </c>
      <c r="C76" s="0" t="n">
        <v>6</v>
      </c>
      <c r="D76" s="0" t="n">
        <v>1</v>
      </c>
      <c r="E76" s="0" t="n">
        <v>47187</v>
      </c>
      <c r="F76" s="0" t="n">
        <v>1850</v>
      </c>
      <c r="G76" s="0" t="n">
        <v>319</v>
      </c>
      <c r="H76" s="0" t="n">
        <v>36</v>
      </c>
      <c r="I76" s="0" t="n">
        <v>104</v>
      </c>
      <c r="J76" s="0" t="n">
        <v>12581</v>
      </c>
      <c r="K76" s="0" t="s">
        <v>35</v>
      </c>
      <c r="L76" s="0" t="n">
        <v>163.5</v>
      </c>
      <c r="M76" s="0" t="n">
        <f aca="false">MAX(Assumptions!$B$33,Assumptions!$B$30-Assumptions!$B$31*(H76-36)-IF(D76=1,Assumptions!$B$32,0))</f>
        <v>0.49</v>
      </c>
      <c r="N76" s="0" t="n">
        <f aca="false">E76*M76</f>
        <v>23121.63</v>
      </c>
      <c r="O76" s="0" t="n">
        <f aca="false">1-POWER(J76/E76,0.1)</f>
        <v>0.123828183004646</v>
      </c>
      <c r="P76" s="0" t="n">
        <f aca="false">E76*(1+Assumptions!$B$8)+Assumptions!$B$9</f>
        <v>49946.35</v>
      </c>
      <c r="Q76" s="0" t="n">
        <f aca="false">IF(D76=1,Assumptions!$B$14*33.7,Assumptions!$B$13)</f>
        <v>5.729</v>
      </c>
      <c r="R76" s="0" t="n">
        <f aca="false">(Assumptions!$B$10/I76)*Q76</f>
        <v>550.865384615385</v>
      </c>
      <c r="S76" s="0" t="n">
        <f aca="false">Assumptions!$B$15+Assumptions!$B$17</f>
        <v>1750</v>
      </c>
      <c r="T76" s="0" t="n">
        <f aca="false">Assumptions!$B$15*(1+Assumptions!$B$16)+Assumptions!$B$17</f>
        <v>1942</v>
      </c>
      <c r="U76" s="0" t="n">
        <f aca="false">IF(OR(C76&gt;Assumptions!$B$11,Assumptions!$B$10*C76&gt;Assumptions!$B$12),1,0)</f>
        <v>0</v>
      </c>
      <c r="V76" s="0" t="n">
        <f aca="false">MAX(0.6,1-Assumptions!$B$22*MAX(0,(Assumptions!$B$10-10000)*C76)/10000)</f>
        <v>1</v>
      </c>
      <c r="W76" s="0" t="n">
        <f aca="false">IF(U76=1,Assumptions!$B$23,MAX(Assumptions!$B$23,E76*POWER(1-O76,C76)*V76))</f>
        <v>21348.0417891852</v>
      </c>
      <c r="X76" s="0" t="n">
        <f aca="true">SUMPRODUCT((ROW(INDIRECT("1:"&amp;C76))&gt;Assumptions!$B$20)*Assumptions!$B$18*POWER(Assumptions!$B$19,ROW(INDIRECT("1:"&amp;C76))-Assumptions!$B$20-1)*IF(ROW(INDIRECT("1:"&amp;C76))&gt;Assumptions!$B$11,Assumptions!$B$21,1)/POWER(1+Assumptions!$B$2,ROW(INDIRECT("1:"&amp;C76))))</f>
        <v>2475.151938064</v>
      </c>
      <c r="Y76" s="1" t="n">
        <f aca="false">-PV(Assumptions!$B$2,C76,R76+S76)+X76</f>
        <v>14266.5209151671</v>
      </c>
      <c r="Z76" s="1" t="n">
        <f aca="false">P76+Y76-(W76/POWER(1+Assumptions!$B$2,C76))</f>
        <v>48006.791819596</v>
      </c>
      <c r="AA76" s="0" t="n">
        <f aca="false">P76*Assumptions!$B$7</f>
        <v>4994.635</v>
      </c>
      <c r="AB76" s="0" t="n">
        <f aca="false">P76-AA76</f>
        <v>44951.715</v>
      </c>
      <c r="AC76" s="1" t="n">
        <f aca="false">PMT(Assumptions!$B$5,Assumptions!$B$6,-AB76)</f>
        <v>889.88576576597</v>
      </c>
      <c r="AD76" s="0" t="n">
        <f aca="false">C76*12</f>
        <v>72</v>
      </c>
      <c r="AE76" s="0" t="n">
        <f aca="false">MIN(Assumptions!$B$6,AD76)</f>
        <v>60</v>
      </c>
      <c r="AF76" s="0" t="n">
        <f aca="false">IF(AD76&gt;=Assumptions!$B$6,0,-PV(Assumptions!$B$5,Assumptions!$B$6-AD76,AC76))</f>
        <v>0</v>
      </c>
      <c r="AG76" s="1" t="n">
        <f aca="false">AA76+(-PV(Assumptions!$B$3,AE76,AC76))+Y76-((W76-AF76)/POWER(1+Assumptions!$B$2,C76))</f>
        <v>50555.9339878768</v>
      </c>
      <c r="AH76" s="0" t="n">
        <f aca="false">H76/12</f>
        <v>3</v>
      </c>
      <c r="AI76" s="0" t="n">
        <f aca="false">MAX(0,Assumptions!$B$10-Assumptions!$B$24)*Assumptions!$B$25</f>
        <v>0</v>
      </c>
      <c r="AJ76" s="1" t="n">
        <f aca="false">F76+Assumptions!$B$27+(-PV(Assumptions!$B$3,H76-1,G76))</f>
        <v>12964.5177229546</v>
      </c>
      <c r="AK76" s="0" t="n">
        <f aca="false">CEILING(C76/AH76,1)</f>
        <v>2</v>
      </c>
      <c r="AL76" s="0" t="n">
        <f aca="false">(1+Assumptions!$B$26)/POWER(1+Assumptions!$B$2,AH76)</f>
        <v>0.906135810905202</v>
      </c>
      <c r="AM76" s="0" t="n">
        <f aca="false">IF(ABS(1-AL76)&lt;0.000000000001,AK76,(1-POWER(AL76,AK76))/(1-AL76))</f>
        <v>1.9061358109052</v>
      </c>
      <c r="AN76" s="0" t="n">
        <f aca="false">1/POWER(1+Assumptions!$B$2,AH76)</f>
        <v>0.871284433562695</v>
      </c>
      <c r="AO76" s="0" t="n">
        <f aca="false">IF(ABS(1-AN76)&lt;0.000000000001,AK76,AN76*(1-POWER(AN76,AK76))/(1-AN76))</f>
        <v>1.63042099773136</v>
      </c>
      <c r="AP76" s="1" t="n">
        <f aca="false">AJ76*AM76+Assumptions!$B$28*AO76+(-PV(Assumptions!$B$2,C76,R76+T76+AI76))</f>
        <v>38139.6216381754</v>
      </c>
      <c r="AQ76" s="0" t="n">
        <f aca="false">N76*(1+Assumptions!$B$8)</f>
        <v>24277.7115</v>
      </c>
      <c r="AR76" s="1" t="n">
        <f aca="false">PMT(Assumptions!$B$5,Assumptions!$B$29,-AQ76)</f>
        <v>749.5142531321</v>
      </c>
      <c r="AS76" s="0" t="n">
        <f aca="false">MAX(0,AD76-H76)</f>
        <v>36</v>
      </c>
      <c r="AT76" s="0" t="n">
        <f aca="false">MIN(Assumptions!$B$29,AS76)</f>
        <v>36</v>
      </c>
      <c r="AU76" s="0" t="n">
        <f aca="false">IF(AS76&gt;=Assumptions!$B$29,0,-PV(Assumptions!$B$5,Assumptions!$B$29-AS76,AR76))</f>
        <v>0</v>
      </c>
      <c r="AV76" s="1" t="n">
        <f aca="false">(-PV(Assumptions!$B$3,AT76,AR76))/POWER(1+Assumptions!$B$2,AH76)</f>
        <v>21887.3700882038</v>
      </c>
      <c r="AW76" s="1" t="n">
        <f aca="false">-PV(Assumptions!$B$2,AH76,T76+AI76)</f>
        <v>5318.41766002654</v>
      </c>
      <c r="AX76" s="1" t="n">
        <f aca="false">(-PV(Assumptions!$B$2,C76,S76))-(-PV(Assumptions!$B$2,AH76,S76))</f>
        <v>4175.71854126704</v>
      </c>
      <c r="AY76" s="1" t="n">
        <f aca="false">AJ76+AW76+AX76+(-PV(Assumptions!$B$2,C76,R76))+X76-(W76/POWER(1+Assumptions!$B$2,C76))</f>
        <v>11550.7763245923</v>
      </c>
      <c r="AZ76" s="1" t="n">
        <f aca="false">AY76+AV76+(AU76/POWER(1+Assumptions!$B$2,C76))</f>
        <v>33438.1464127961</v>
      </c>
      <c r="BA76" s="0" t="n">
        <f aca="false">AQ76/POWER(1+Assumptions!$B$2,AH76)</f>
        <v>21152.792112476</v>
      </c>
      <c r="BB76" s="1" t="n">
        <f aca="false">AY76+BA76</f>
        <v>32703.5684370683</v>
      </c>
      <c r="BC76" s="1" t="n">
        <f aca="false">AJ76+Assumptions!$B$28/POWER(1+Assumptions!$B$2,AH76)+(-PV(Assumptions!$B$2,AH76,R76+T76+AI76))</f>
        <v>20140.0651140971</v>
      </c>
      <c r="BD76" s="1" t="n">
        <f aca="false">MIN(Z76,AG76,AZ76)</f>
        <v>33438.1464127961</v>
      </c>
      <c r="BE76" s="0" t="str">
        <f aca="false">IF(BD76=Z76,"Cash",IF(BD76=AG76,"Loan","Lease then buy out"))</f>
        <v>Lease then buy out</v>
      </c>
    </row>
    <row r="77" customFormat="false" ht="15" hidden="false" customHeight="false" outlineLevel="0" collapsed="false">
      <c r="A77" s="0" t="s">
        <v>37</v>
      </c>
      <c r="B77" s="0" t="s">
        <v>38</v>
      </c>
      <c r="C77" s="0" t="n">
        <v>6</v>
      </c>
      <c r="D77" s="0" t="n">
        <v>1</v>
      </c>
      <c r="E77" s="0" t="n">
        <v>49130</v>
      </c>
      <c r="F77" s="0" t="n">
        <v>7932</v>
      </c>
      <c r="G77" s="0" t="n">
        <v>356</v>
      </c>
      <c r="H77" s="0" t="n">
        <v>36</v>
      </c>
      <c r="I77" s="0" t="n">
        <v>128</v>
      </c>
      <c r="J77" s="0" t="n">
        <v>10841</v>
      </c>
      <c r="K77" s="0" t="s">
        <v>35</v>
      </c>
      <c r="L77" s="0" t="n">
        <v>127</v>
      </c>
      <c r="M77" s="0" t="n">
        <f aca="false">MAX(Assumptions!$B$33,Assumptions!$B$30-Assumptions!$B$31*(H77-36)-IF(D77=1,Assumptions!$B$32,0))</f>
        <v>0.49</v>
      </c>
      <c r="N77" s="0" t="n">
        <f aca="false">E77*M77</f>
        <v>24073.7</v>
      </c>
      <c r="O77" s="0" t="n">
        <f aca="false">1-POWER(J77/E77,0.1)</f>
        <v>0.140249854427443</v>
      </c>
      <c r="P77" s="0" t="n">
        <f aca="false">E77*(1+Assumptions!$B$8)+Assumptions!$B$9</f>
        <v>51986.5</v>
      </c>
      <c r="Q77" s="0" t="n">
        <f aca="false">IF(D77=1,Assumptions!$B$14*33.7,Assumptions!$B$13)</f>
        <v>5.729</v>
      </c>
      <c r="R77" s="0" t="n">
        <f aca="false">(Assumptions!$B$10/I77)*Q77</f>
        <v>447.578125</v>
      </c>
      <c r="S77" s="0" t="n">
        <f aca="false">Assumptions!$B$15+Assumptions!$B$17</f>
        <v>1750</v>
      </c>
      <c r="T77" s="0" t="n">
        <f aca="false">Assumptions!$B$15*(1+Assumptions!$B$16)+Assumptions!$B$17</f>
        <v>1942</v>
      </c>
      <c r="U77" s="0" t="n">
        <f aca="false">IF(OR(C77&gt;Assumptions!$B$11,Assumptions!$B$10*C77&gt;Assumptions!$B$12),1,0)</f>
        <v>0</v>
      </c>
      <c r="V77" s="0" t="n">
        <f aca="false">MAX(0.6,1-Assumptions!$B$22*MAX(0,(Assumptions!$B$10-10000)*C77)/10000)</f>
        <v>1</v>
      </c>
      <c r="W77" s="0" t="n">
        <f aca="false">IF(U77=1,Assumptions!$B$23,MAX(Assumptions!$B$23,E77*POWER(1-O77,C77)*V77))</f>
        <v>19841.7654858514</v>
      </c>
      <c r="X77" s="0" t="n">
        <f aca="true">SUMPRODUCT((ROW(INDIRECT("1:"&amp;C77))&gt;Assumptions!$B$20)*Assumptions!$B$18*POWER(Assumptions!$B$19,ROW(INDIRECT("1:"&amp;C77))-Assumptions!$B$20-1)*IF(ROW(INDIRECT("1:"&amp;C77))&gt;Assumptions!$B$11,Assumptions!$B$21,1)/POWER(1+Assumptions!$B$2,ROW(INDIRECT("1:"&amp;C77))))</f>
        <v>2475.151938064</v>
      </c>
      <c r="Y77" s="1" t="n">
        <f aca="false">-PV(Assumptions!$B$2,C77,R77+S77)+X77</f>
        <v>13737.19912307</v>
      </c>
      <c r="Z77" s="1" t="n">
        <f aca="false">P77+Y77-(W77/POWER(1+Assumptions!$B$2,C77))</f>
        <v>50661.0894451004</v>
      </c>
      <c r="AA77" s="0" t="n">
        <f aca="false">P77*Assumptions!$B$7</f>
        <v>5198.65</v>
      </c>
      <c r="AB77" s="0" t="n">
        <f aca="false">P77-AA77</f>
        <v>46787.85</v>
      </c>
      <c r="AC77" s="1" t="n">
        <f aca="false">PMT(Assumptions!$B$5,Assumptions!$B$6,-AB77)</f>
        <v>926.23477715574</v>
      </c>
      <c r="AD77" s="0" t="n">
        <f aca="false">C77*12</f>
        <v>72</v>
      </c>
      <c r="AE77" s="0" t="n">
        <f aca="false">MIN(Assumptions!$B$6,AD77)</f>
        <v>60</v>
      </c>
      <c r="AF77" s="0" t="n">
        <f aca="false">IF(AD77&gt;=Assumptions!$B$6,0,-PV(Assumptions!$B$5,Assumptions!$B$6-AD77,AC77))</f>
        <v>0</v>
      </c>
      <c r="AG77" s="1" t="n">
        <f aca="false">AA77+(-PV(Assumptions!$B$3,AE77,AC77))+Y77-((W77-AF77)/POWER(1+Assumptions!$B$2,C77))</f>
        <v>53314.3559867262</v>
      </c>
      <c r="AH77" s="0" t="n">
        <f aca="false">H77/12</f>
        <v>3</v>
      </c>
      <c r="AI77" s="0" t="n">
        <f aca="false">MAX(0,Assumptions!$B$10-Assumptions!$B$24)*Assumptions!$B$25</f>
        <v>0</v>
      </c>
      <c r="AJ77" s="1" t="n">
        <f aca="false">F77+Assumptions!$B$27+(-PV(Assumptions!$B$3,H77-1,G77))</f>
        <v>20254.4711892534</v>
      </c>
      <c r="AK77" s="0" t="n">
        <f aca="false">CEILING(C77/AH77,1)</f>
        <v>2</v>
      </c>
      <c r="AL77" s="0" t="n">
        <f aca="false">(1+Assumptions!$B$26)/POWER(1+Assumptions!$B$2,AH77)</f>
        <v>0.906135810905202</v>
      </c>
      <c r="AM77" s="0" t="n">
        <f aca="false">IF(ABS(1-AL77)&lt;0.000000000001,AK77,(1-POWER(AL77,AK77))/(1-AL77))</f>
        <v>1.9061358109052</v>
      </c>
      <c r="AN77" s="0" t="n">
        <f aca="false">1/POWER(1+Assumptions!$B$2,AH77)</f>
        <v>0.871284433562695</v>
      </c>
      <c r="AO77" s="0" t="n">
        <f aca="false">IF(ABS(1-AN77)&lt;0.000000000001,AK77,AN77*(1-POWER(AN77,AK77))/(1-AN77))</f>
        <v>1.63042099773136</v>
      </c>
      <c r="AP77" s="1" t="n">
        <f aca="false">AJ77*AM77+Assumptions!$B$28*AO77+(-PV(Assumptions!$B$2,C77,R77+T77+AI77))</f>
        <v>51505.9412080229</v>
      </c>
      <c r="AQ77" s="0" t="n">
        <f aca="false">N77*(1+Assumptions!$B$8)</f>
        <v>25277.385</v>
      </c>
      <c r="AR77" s="1" t="n">
        <f aca="false">PMT(Assumptions!$B$5,Assumptions!$B$29,-AQ77)</f>
        <v>780.376698166445</v>
      </c>
      <c r="AS77" s="0" t="n">
        <f aca="false">MAX(0,AD77-H77)</f>
        <v>36</v>
      </c>
      <c r="AT77" s="0" t="n">
        <f aca="false">MIN(Assumptions!$B$29,AS77)</f>
        <v>36</v>
      </c>
      <c r="AU77" s="0" t="n">
        <f aca="false">IF(AS77&gt;=Assumptions!$B$29,0,-PV(Assumptions!$B$5,Assumptions!$B$29-AS77,AR77))</f>
        <v>0</v>
      </c>
      <c r="AV77" s="1" t="n">
        <f aca="false">(-PV(Assumptions!$B$3,AT77,AR77))/POWER(1+Assumptions!$B$2,AH77)</f>
        <v>22788.6174673841</v>
      </c>
      <c r="AW77" s="1" t="n">
        <f aca="false">-PV(Assumptions!$B$2,AH77,T77+AI77)</f>
        <v>5318.41766002654</v>
      </c>
      <c r="AX77" s="1" t="n">
        <f aca="false">(-PV(Assumptions!$B$2,C77,S77))-(-PV(Assumptions!$B$2,AH77,S77))</f>
        <v>4175.71854126704</v>
      </c>
      <c r="AY77" s="1" t="n">
        <f aca="false">AJ77+AW77+AX77+(-PV(Assumptions!$B$2,C77,R77))+X77-(W77/POWER(1+Assumptions!$B$2,C77))</f>
        <v>19454.8774163955</v>
      </c>
      <c r="AZ77" s="1" t="n">
        <f aca="false">AY77+AV77+(AU77/POWER(1+Assumptions!$B$2,C77))</f>
        <v>42243.4948837796</v>
      </c>
      <c r="BA77" s="0" t="n">
        <f aca="false">AQ77/POWER(1+Assumptions!$B$2,AH77)</f>
        <v>22023.7920716712</v>
      </c>
      <c r="BB77" s="1" t="n">
        <f aca="false">AY77+BA77</f>
        <v>41478.6694880667</v>
      </c>
      <c r="BC77" s="1" t="n">
        <f aca="false">AJ77+Assumptions!$B$28/POWER(1+Assumptions!$B$2,AH77)+(-PV(Assumptions!$B$2,AH77,R77+T77+AI77))</f>
        <v>27147.1530883289</v>
      </c>
      <c r="BD77" s="1" t="n">
        <f aca="false">MIN(Z77,AG77,AZ77)</f>
        <v>42243.4948837796</v>
      </c>
      <c r="BE77" s="0" t="str">
        <f aca="false">IF(BD77=Z77,"Cash",IF(BD77=AG77,"Loan","Lease then buy out"))</f>
        <v>Lease then buy out</v>
      </c>
    </row>
    <row r="78" customFormat="false" ht="15" hidden="false" customHeight="false" outlineLevel="0" collapsed="false">
      <c r="A78" s="0" t="s">
        <v>37</v>
      </c>
      <c r="B78" s="0" t="s">
        <v>39</v>
      </c>
      <c r="C78" s="0" t="n">
        <v>6</v>
      </c>
      <c r="D78" s="0" t="n">
        <v>1</v>
      </c>
      <c r="E78" s="0" t="n">
        <v>50990</v>
      </c>
      <c r="F78" s="0" t="n">
        <v>4158</v>
      </c>
      <c r="G78" s="0" t="n">
        <v>464</v>
      </c>
      <c r="H78" s="0" t="n">
        <v>36</v>
      </c>
      <c r="I78" s="0" t="n">
        <v>110</v>
      </c>
      <c r="J78" s="0" t="n">
        <v>15876</v>
      </c>
      <c r="K78" s="0" t="s">
        <v>35</v>
      </c>
      <c r="L78" s="0" t="n">
        <v>173.2</v>
      </c>
      <c r="M78" s="0" t="n">
        <f aca="false">MAX(Assumptions!$B$33,Assumptions!$B$30-Assumptions!$B$31*(H78-36)-IF(D78=1,Assumptions!$B$32,0))</f>
        <v>0.49</v>
      </c>
      <c r="N78" s="0" t="n">
        <f aca="false">E78*M78</f>
        <v>24985.1</v>
      </c>
      <c r="O78" s="0" t="n">
        <f aca="false">1-POWER(J78/E78,0.1)</f>
        <v>0.11013196276101</v>
      </c>
      <c r="P78" s="0" t="n">
        <f aca="false">E78*(1+Assumptions!$B$8)+Assumptions!$B$9</f>
        <v>53939.5</v>
      </c>
      <c r="Q78" s="0" t="n">
        <f aca="false">IF(D78=1,Assumptions!$B$14*33.7,Assumptions!$B$13)</f>
        <v>5.729</v>
      </c>
      <c r="R78" s="0" t="n">
        <f aca="false">(Assumptions!$B$10/I78)*Q78</f>
        <v>520.818181818182</v>
      </c>
      <c r="S78" s="0" t="n">
        <f aca="false">Assumptions!$B$15+Assumptions!$B$17</f>
        <v>1750</v>
      </c>
      <c r="T78" s="0" t="n">
        <f aca="false">Assumptions!$B$15*(1+Assumptions!$B$16)+Assumptions!$B$17</f>
        <v>1942</v>
      </c>
      <c r="U78" s="0" t="n">
        <f aca="false">IF(OR(C78&gt;Assumptions!$B$11,Assumptions!$B$10*C78&gt;Assumptions!$B$12),1,0)</f>
        <v>0</v>
      </c>
      <c r="V78" s="0" t="n">
        <f aca="false">MAX(0.6,1-Assumptions!$B$22*MAX(0,(Assumptions!$B$10-10000)*C78)/10000)</f>
        <v>1</v>
      </c>
      <c r="W78" s="0" t="n">
        <f aca="false">IF(U78=1,Assumptions!$B$23,MAX(Assumptions!$B$23,E78*POWER(1-O78,C78)*V78))</f>
        <v>25318.5400327415</v>
      </c>
      <c r="X78" s="0" t="n">
        <f aca="true">SUMPRODUCT((ROW(INDIRECT("1:"&amp;C78))&gt;Assumptions!$B$20)*Assumptions!$B$18*POWER(Assumptions!$B$19,ROW(INDIRECT("1:"&amp;C78))-Assumptions!$B$20-1)*IF(ROW(INDIRECT("1:"&amp;C78))&gt;Assumptions!$B$11,Assumptions!$B$21,1)/POWER(1+Assumptions!$B$2,ROW(INDIRECT("1:"&amp;C78))))</f>
        <v>2475.151938064</v>
      </c>
      <c r="Y78" s="1" t="n">
        <f aca="false">-PV(Assumptions!$B$2,C78,R78+S78)+X78</f>
        <v>14112.5363938298</v>
      </c>
      <c r="Z78" s="1" t="n">
        <f aca="false">P78+Y78-(W78/POWER(1+Assumptions!$B$2,C78))</f>
        <v>48831.8069036076</v>
      </c>
      <c r="AA78" s="0" t="n">
        <f aca="false">P78*Assumptions!$B$7</f>
        <v>5393.95</v>
      </c>
      <c r="AB78" s="0" t="n">
        <f aca="false">P78-AA78</f>
        <v>48545.55</v>
      </c>
      <c r="AC78" s="1" t="n">
        <f aca="false">PMT(Assumptions!$B$5,Assumptions!$B$6,-AB78)</f>
        <v>961.031051569004</v>
      </c>
      <c r="AD78" s="0" t="n">
        <f aca="false">C78*12</f>
        <v>72</v>
      </c>
      <c r="AE78" s="0" t="n">
        <f aca="false">MIN(Assumptions!$B$6,AD78)</f>
        <v>60</v>
      </c>
      <c r="AF78" s="0" t="n">
        <f aca="false">IF(AD78&gt;=Assumptions!$B$6,0,-PV(Assumptions!$B$5,Assumptions!$B$6-AD78,AC78))</f>
        <v>0</v>
      </c>
      <c r="AG78" s="1" t="n">
        <f aca="false">AA78+(-PV(Assumptions!$B$3,AE78,AC78))+Y78-((W78-AF78)/POWER(1+Assumptions!$B$2,C78))</f>
        <v>51584.7498911529</v>
      </c>
      <c r="AH78" s="0" t="n">
        <f aca="false">H78/12</f>
        <v>3</v>
      </c>
      <c r="AI78" s="0" t="n">
        <f aca="false">MAX(0,Assumptions!$B$10-Assumptions!$B$24)*Assumptions!$B$25</f>
        <v>0</v>
      </c>
      <c r="AJ78" s="1" t="n">
        <f aca="false">F78+Assumptions!$B$27+(-PV(Assumptions!$B$3,H78-1,G78))</f>
        <v>20006.3894152067</v>
      </c>
      <c r="AK78" s="0" t="n">
        <f aca="false">CEILING(C78/AH78,1)</f>
        <v>2</v>
      </c>
      <c r="AL78" s="0" t="n">
        <f aca="false">(1+Assumptions!$B$26)/POWER(1+Assumptions!$B$2,AH78)</f>
        <v>0.906135810905202</v>
      </c>
      <c r="AM78" s="0" t="n">
        <f aca="false">IF(ABS(1-AL78)&lt;0.000000000001,AK78,(1-POWER(AL78,AK78))/(1-AL78))</f>
        <v>1.9061358109052</v>
      </c>
      <c r="AN78" s="0" t="n">
        <f aca="false">1/POWER(1+Assumptions!$B$2,AH78)</f>
        <v>0.871284433562695</v>
      </c>
      <c r="AO78" s="0" t="n">
        <f aca="false">IF(ABS(1-AN78)&lt;0.000000000001,AK78,AN78*(1-POWER(AN78,AK78))/(1-AN78))</f>
        <v>1.63042099773136</v>
      </c>
      <c r="AP78" s="1" t="n">
        <f aca="false">AJ78*AM78+Assumptions!$B$28*AO78+(-PV(Assumptions!$B$2,C78,R78+T78+AI78))</f>
        <v>51408.4009252393</v>
      </c>
      <c r="AQ78" s="0" t="n">
        <f aca="false">N78*(1+Assumptions!$B$8)</f>
        <v>26234.355</v>
      </c>
      <c r="AR78" s="1" t="n">
        <f aca="false">PMT(Assumptions!$B$5,Assumptions!$B$29,-AQ78)</f>
        <v>809.920778333137</v>
      </c>
      <c r="AS78" s="0" t="n">
        <f aca="false">MAX(0,AD78-H78)</f>
        <v>36</v>
      </c>
      <c r="AT78" s="0" t="n">
        <f aca="false">MIN(Assumptions!$B$29,AS78)</f>
        <v>36</v>
      </c>
      <c r="AU78" s="0" t="n">
        <f aca="false">IF(AS78&gt;=Assumptions!$B$29,0,-PV(Assumptions!$B$5,Assumptions!$B$29-AS78,AR78))</f>
        <v>0</v>
      </c>
      <c r="AV78" s="1" t="n">
        <f aca="false">(-PV(Assumptions!$B$3,AT78,AR78))/POWER(1+Assumptions!$B$2,AH78)</f>
        <v>23651.3658591882</v>
      </c>
      <c r="AW78" s="1" t="n">
        <f aca="false">-PV(Assumptions!$B$2,AH78,T78+AI78)</f>
        <v>5318.41766002654</v>
      </c>
      <c r="AX78" s="1" t="n">
        <f aca="false">(-PV(Assumptions!$B$2,C78,S78))-(-PV(Assumptions!$B$2,AH78,S78))</f>
        <v>4175.71854126704</v>
      </c>
      <c r="AY78" s="1" t="n">
        <f aca="false">AJ78+AW78+AX78+(-PV(Assumptions!$B$2,C78,R78))+X78-(W78/POWER(1+Assumptions!$B$2,C78))</f>
        <v>15424.513100856</v>
      </c>
      <c r="AZ78" s="1" t="n">
        <f aca="false">AY78+AV78+(AU78/POWER(1+Assumptions!$B$2,C78))</f>
        <v>39075.8789600442</v>
      </c>
      <c r="BA78" s="0" t="n">
        <f aca="false">AQ78/POWER(1+Assumptions!$B$2,AH78)</f>
        <v>22857.5851360576</v>
      </c>
      <c r="BB78" s="1" t="n">
        <f aca="false">AY78+BA78</f>
        <v>38282.0982369136</v>
      </c>
      <c r="BC78" s="1" t="n">
        <f aca="false">AJ78+Assumptions!$B$28/POWER(1+Assumptions!$B$2,AH78)+(-PV(Assumptions!$B$2,AH78,R78+T78+AI78))</f>
        <v>27099.6486632024</v>
      </c>
      <c r="BD78" s="1" t="n">
        <f aca="false">MIN(Z78,AG78,AZ78)</f>
        <v>39075.8789600442</v>
      </c>
      <c r="BE78" s="0" t="str">
        <f aca="false">IF(BD78=Z78,"Cash",IF(BD78=AG78,"Loan","Lease then buy out"))</f>
        <v>Lease then buy out</v>
      </c>
    </row>
    <row r="79" customFormat="false" ht="15" hidden="false" customHeight="false" outlineLevel="0" collapsed="false">
      <c r="A79" s="0" t="s">
        <v>41</v>
      </c>
      <c r="B79" s="0" t="s">
        <v>42</v>
      </c>
      <c r="C79" s="0" t="n">
        <v>6</v>
      </c>
      <c r="D79" s="0" t="n">
        <v>1</v>
      </c>
      <c r="E79" s="0" t="n">
        <v>41400</v>
      </c>
      <c r="F79" s="0" t="n">
        <v>1500</v>
      </c>
      <c r="G79" s="0" t="n">
        <v>561.11</v>
      </c>
      <c r="H79" s="0" t="n">
        <v>36</v>
      </c>
      <c r="I79" s="0" t="n">
        <v>94</v>
      </c>
      <c r="J79" s="0" t="n">
        <v>9644</v>
      </c>
      <c r="K79" s="0" t="s">
        <v>35</v>
      </c>
      <c r="L79" s="0" t="n">
        <v>132.8</v>
      </c>
      <c r="M79" s="0" t="n">
        <f aca="false">MAX(Assumptions!$B$33,Assumptions!$B$30-Assumptions!$B$31*(H79-36)-IF(D79=1,Assumptions!$B$32,0))</f>
        <v>0.49</v>
      </c>
      <c r="N79" s="0" t="n">
        <f aca="false">E79*M79</f>
        <v>20286</v>
      </c>
      <c r="O79" s="0" t="n">
        <f aca="false">1-POWER(J79/E79,0.1)</f>
        <v>0.135578249435814</v>
      </c>
      <c r="P79" s="0" t="n">
        <f aca="false">E79*(1+Assumptions!$B$8)+Assumptions!$B$9</f>
        <v>43870</v>
      </c>
      <c r="Q79" s="0" t="n">
        <f aca="false">IF(D79=1,Assumptions!$B$14*33.7,Assumptions!$B$13)</f>
        <v>5.729</v>
      </c>
      <c r="R79" s="0" t="n">
        <f aca="false">(Assumptions!$B$10/I79)*Q79</f>
        <v>609.468085106383</v>
      </c>
      <c r="S79" s="0" t="n">
        <f aca="false">Assumptions!$B$15+Assumptions!$B$17</f>
        <v>1750</v>
      </c>
      <c r="T79" s="0" t="n">
        <f aca="false">Assumptions!$B$15*(1+Assumptions!$B$16)+Assumptions!$B$17</f>
        <v>1942</v>
      </c>
      <c r="U79" s="0" t="n">
        <f aca="false">IF(OR(C79&gt;Assumptions!$B$11,Assumptions!$B$10*C79&gt;Assumptions!$B$12),1,0)</f>
        <v>0</v>
      </c>
      <c r="V79" s="0" t="n">
        <f aca="false">MAX(0.6,1-Assumptions!$B$22*MAX(0,(Assumptions!$B$10-10000)*C79)/10000)</f>
        <v>1</v>
      </c>
      <c r="W79" s="0" t="n">
        <f aca="false">IF(U79=1,Assumptions!$B$23,MAX(Assumptions!$B$23,E79*POWER(1-O79,C79)*V79))</f>
        <v>17272.4704147037</v>
      </c>
      <c r="X79" s="0" t="n">
        <f aca="true">SUMPRODUCT((ROW(INDIRECT("1:"&amp;C79))&gt;Assumptions!$B$20)*Assumptions!$B$18*POWER(Assumptions!$B$19,ROW(INDIRECT("1:"&amp;C79))-Assumptions!$B$20-1)*IF(ROW(INDIRECT("1:"&amp;C79))&gt;Assumptions!$B$11,Assumptions!$B$21,1)/POWER(1+Assumptions!$B$2,ROW(INDIRECT("1:"&amp;C79))))</f>
        <v>2475.151938064</v>
      </c>
      <c r="Y79" s="1" t="n">
        <f aca="false">-PV(Assumptions!$B$2,C79,R79+S79)+X79</f>
        <v>14566.8453362151</v>
      </c>
      <c r="Z79" s="1" t="n">
        <f aca="false">P79+Y79-(W79/POWER(1+Assumptions!$B$2,C79))</f>
        <v>45324.6814908921</v>
      </c>
      <c r="AA79" s="0" t="n">
        <f aca="false">P79*Assumptions!$B$7</f>
        <v>4387</v>
      </c>
      <c r="AB79" s="0" t="n">
        <f aca="false">P79-AA79</f>
        <v>39483</v>
      </c>
      <c r="AC79" s="1" t="n">
        <f aca="false">PMT(Assumptions!$B$5,Assumptions!$B$6,-AB79)</f>
        <v>781.62445392212</v>
      </c>
      <c r="AD79" s="0" t="n">
        <f aca="false">C79*12</f>
        <v>72</v>
      </c>
      <c r="AE79" s="0" t="n">
        <f aca="false">MIN(Assumptions!$B$6,AD79)</f>
        <v>60</v>
      </c>
      <c r="AF79" s="0" t="n">
        <f aca="false">IF(AD79&gt;=Assumptions!$B$6,0,-PV(Assumptions!$B$5,Assumptions!$B$6-AD79,AC79))</f>
        <v>0</v>
      </c>
      <c r="AG79" s="1" t="n">
        <f aca="false">AA79+(-PV(Assumptions!$B$3,AE79,AC79))+Y79-((W79-AF79)/POWER(1+Assumptions!$B$2,C79))</f>
        <v>47563.7012975943</v>
      </c>
      <c r="AH79" s="0" t="n">
        <f aca="false">H79/12</f>
        <v>3</v>
      </c>
      <c r="AI79" s="0" t="n">
        <f aca="false">MAX(0,Assumptions!$B$10-Assumptions!$B$24)*Assumptions!$B$25</f>
        <v>0</v>
      </c>
      <c r="AJ79" s="1" t="n">
        <f aca="false">F79+Assumptions!$B$27+(-PV(Assumptions!$B$3,H79-1,G79))</f>
        <v>20518.7775533763</v>
      </c>
      <c r="AK79" s="0" t="n">
        <f aca="false">CEILING(C79/AH79,1)</f>
        <v>2</v>
      </c>
      <c r="AL79" s="0" t="n">
        <f aca="false">(1+Assumptions!$B$26)/POWER(1+Assumptions!$B$2,AH79)</f>
        <v>0.906135810905202</v>
      </c>
      <c r="AM79" s="0" t="n">
        <f aca="false">IF(ABS(1-AL79)&lt;0.000000000001,AK79,(1-POWER(AL79,AK79))/(1-AL79))</f>
        <v>1.9061358109052</v>
      </c>
      <c r="AN79" s="0" t="n">
        <f aca="false">1/POWER(1+Assumptions!$B$2,AH79)</f>
        <v>0.871284433562695</v>
      </c>
      <c r="AO79" s="0" t="n">
        <f aca="false">IF(ABS(1-AN79)&lt;0.000000000001,AK79,AN79*(1-POWER(AN79,AK79))/(1-AN79))</f>
        <v>1.63042099773136</v>
      </c>
      <c r="AP79" s="1" t="n">
        <f aca="false">AJ79*AM79+Assumptions!$B$28*AO79+(-PV(Assumptions!$B$2,C79,R79+T79+AI79))</f>
        <v>52839.3912468729</v>
      </c>
      <c r="AQ79" s="0" t="n">
        <f aca="false">N79*(1+Assumptions!$B$8)</f>
        <v>21300.3</v>
      </c>
      <c r="AR79" s="1" t="n">
        <f aca="false">PMT(Assumptions!$B$5,Assumptions!$B$29,-AQ79)</f>
        <v>657.594042419923</v>
      </c>
      <c r="AS79" s="0" t="n">
        <f aca="false">MAX(0,AD79-H79)</f>
        <v>36</v>
      </c>
      <c r="AT79" s="0" t="n">
        <f aca="false">MIN(Assumptions!$B$29,AS79)</f>
        <v>36</v>
      </c>
      <c r="AU79" s="0" t="n">
        <f aca="false">IF(AS79&gt;=Assumptions!$B$29,0,-PV(Assumptions!$B$5,Assumptions!$B$29-AS79,AR79))</f>
        <v>0</v>
      </c>
      <c r="AV79" s="1" t="n">
        <f aca="false">(-PV(Assumptions!$B$3,AT79,AR79))/POWER(1+Assumptions!$B$2,AH79)</f>
        <v>19203.1093659618</v>
      </c>
      <c r="AW79" s="1" t="n">
        <f aca="false">-PV(Assumptions!$B$2,AH79,T79+AI79)</f>
        <v>5318.41766002654</v>
      </c>
      <c r="AX79" s="1" t="n">
        <f aca="false">(-PV(Assumptions!$B$2,C79,S79))-(-PV(Assumptions!$B$2,AH79,S79))</f>
        <v>4175.71854126704</v>
      </c>
      <c r="AY79" s="1" t="n">
        <f aca="false">AJ79+AW79+AX79+(-PV(Assumptions!$B$2,C79,R79))+X79-(W79/POWER(1+Assumptions!$B$2,C79))</f>
        <v>22499.2758263102</v>
      </c>
      <c r="AZ79" s="1" t="n">
        <f aca="false">AY79+AV79+(AU79/POWER(1+Assumptions!$B$2,C79))</f>
        <v>41702.3851922719</v>
      </c>
      <c r="BA79" s="0" t="n">
        <f aca="false">AQ79/POWER(1+Assumptions!$B$2,AH79)</f>
        <v>18558.6198202155</v>
      </c>
      <c r="BB79" s="1" t="n">
        <f aca="false">AY79+BA79</f>
        <v>41057.8956465256</v>
      </c>
      <c r="BC79" s="1" t="n">
        <f aca="false">AJ79+Assumptions!$B$28/POWER(1+Assumptions!$B$2,AH79)+(-PV(Assumptions!$B$2,AH79,R79+T79+AI79))</f>
        <v>27854.8160038477</v>
      </c>
      <c r="BD79" s="1" t="n">
        <f aca="false">MIN(Z79,AG79,AZ79)</f>
        <v>41702.3851922719</v>
      </c>
      <c r="BE79" s="0" t="str">
        <f aca="false">IF(BD79=Z79,"Cash",IF(BD79=AG79,"Loan","Lease then buy out"))</f>
        <v>Lease then buy out</v>
      </c>
    </row>
    <row r="80" customFormat="false" ht="15" hidden="false" customHeight="false" outlineLevel="0" collapsed="false">
      <c r="A80" s="0" t="s">
        <v>43</v>
      </c>
      <c r="B80" s="0" t="s">
        <v>44</v>
      </c>
      <c r="C80" s="0" t="n">
        <v>6</v>
      </c>
      <c r="D80" s="0" t="n">
        <v>0</v>
      </c>
      <c r="E80" s="0" t="n">
        <v>23945</v>
      </c>
      <c r="F80" s="0" t="n">
        <v>2787</v>
      </c>
      <c r="G80" s="0" t="n">
        <v>234</v>
      </c>
      <c r="H80" s="0" t="n">
        <v>36</v>
      </c>
      <c r="I80" s="0" t="n">
        <v>34</v>
      </c>
      <c r="J80" s="0" t="n">
        <v>7980</v>
      </c>
      <c r="K80" s="0" t="s">
        <v>35</v>
      </c>
      <c r="L80" s="0" t="n">
        <v>149.8</v>
      </c>
      <c r="M80" s="0" t="n">
        <f aca="false">MAX(Assumptions!$B$33,Assumptions!$B$30-Assumptions!$B$31*(H80-36)-IF(D80=1,Assumptions!$B$32,0))</f>
        <v>0.57</v>
      </c>
      <c r="N80" s="0" t="n">
        <f aca="false">E80*M80</f>
        <v>13648.65</v>
      </c>
      <c r="O80" s="0" t="n">
        <f aca="false">1-POWER(J80/E80,0.1)</f>
        <v>0.104060250592732</v>
      </c>
      <c r="P80" s="0" t="n">
        <f aca="false">E80*(1+Assumptions!$B$8)+Assumptions!$B$9</f>
        <v>25542.25</v>
      </c>
      <c r="Q80" s="0" t="n">
        <f aca="false">IF(D80=1,Assumptions!$B$14*33.7,Assumptions!$B$13)</f>
        <v>3.1</v>
      </c>
      <c r="R80" s="0" t="n">
        <f aca="false">(Assumptions!$B$10/I80)*Q80</f>
        <v>911.764705882353</v>
      </c>
      <c r="S80" s="0" t="n">
        <f aca="false">Assumptions!$B$15+Assumptions!$B$17</f>
        <v>1750</v>
      </c>
      <c r="T80" s="0" t="n">
        <f aca="false">Assumptions!$B$15*(1+Assumptions!$B$16)+Assumptions!$B$17</f>
        <v>1942</v>
      </c>
      <c r="U80" s="0" t="n">
        <f aca="false">IF(OR(C80&gt;Assumptions!$B$11,Assumptions!$B$10*C80&gt;Assumptions!$B$12),1,0)</f>
        <v>0</v>
      </c>
      <c r="V80" s="0" t="n">
        <f aca="false">MAX(0.6,1-Assumptions!$B$22*MAX(0,(Assumptions!$B$10-10000)*C80)/10000)</f>
        <v>1</v>
      </c>
      <c r="W80" s="0" t="n">
        <f aca="false">IF(U80=1,Assumptions!$B$23,MAX(Assumptions!$B$23,E80*POWER(1-O80,C80)*V80))</f>
        <v>12384.7621787455</v>
      </c>
      <c r="X80" s="0" t="n">
        <f aca="true">SUMPRODUCT((ROW(INDIRECT("1:"&amp;C80))&gt;Assumptions!$B$20)*Assumptions!$B$18*POWER(Assumptions!$B$19,ROW(INDIRECT("1:"&amp;C80))-Assumptions!$B$20-1)*IF(ROW(INDIRECT("1:"&amp;C80))&gt;Assumptions!$B$11,Assumptions!$B$21,1)/POWER(1+Assumptions!$B$2,ROW(INDIRECT("1:"&amp;C80))))</f>
        <v>2475.151938064</v>
      </c>
      <c r="Y80" s="1" t="n">
        <f aca="false">-PV(Assumptions!$B$2,C80,R80+S80)+X80</f>
        <v>16116.0411387747</v>
      </c>
      <c r="Z80" s="1" t="n">
        <f aca="false">P80+Y80-(W80/POWER(1+Assumptions!$B$2,C80))</f>
        <v>32256.5653303559</v>
      </c>
      <c r="AA80" s="0" t="n">
        <f aca="false">P80*Assumptions!$B$7</f>
        <v>2554.225</v>
      </c>
      <c r="AB80" s="0" t="n">
        <f aca="false">P80-AA80</f>
        <v>22988.025</v>
      </c>
      <c r="AC80" s="1" t="n">
        <f aca="false">PMT(Assumptions!$B$5,Assumptions!$B$6,-AB80)</f>
        <v>455.081996995493</v>
      </c>
      <c r="AD80" s="0" t="n">
        <f aca="false">C80*12</f>
        <v>72</v>
      </c>
      <c r="AE80" s="0" t="n">
        <f aca="false">MIN(Assumptions!$B$6,AD80)</f>
        <v>60</v>
      </c>
      <c r="AF80" s="0" t="n">
        <f aca="false">IF(AD80&gt;=Assumptions!$B$6,0,-PV(Assumptions!$B$5,Assumptions!$B$6-AD80,AC80))</f>
        <v>0</v>
      </c>
      <c r="AG80" s="1" t="n">
        <f aca="false">AA80+(-PV(Assumptions!$B$3,AE80,AC80))+Y80-((W80-AF80)/POWER(1+Assumptions!$B$2,C80))</f>
        <v>33560.1806405392</v>
      </c>
      <c r="AH80" s="0" t="n">
        <f aca="false">H80/12</f>
        <v>3</v>
      </c>
      <c r="AI80" s="0" t="n">
        <f aca="false">MAX(0,Assumptions!$B$10-Assumptions!$B$24)*Assumptions!$B$25</f>
        <v>0</v>
      </c>
      <c r="AJ80" s="1" t="n">
        <f aca="false">F80+Assumptions!$B$27+(-PV(Assumptions!$B$3,H80-1,G80))</f>
        <v>11126.4894895654</v>
      </c>
      <c r="AK80" s="0" t="n">
        <f aca="false">CEILING(C80/AH80,1)</f>
        <v>2</v>
      </c>
      <c r="AL80" s="0" t="n">
        <f aca="false">(1+Assumptions!$B$26)/POWER(1+Assumptions!$B$2,AH80)</f>
        <v>0.906135810905202</v>
      </c>
      <c r="AM80" s="0" t="n">
        <f aca="false">IF(ABS(1-AL80)&lt;0.000000000001,AK80,(1-POWER(AL80,AK80))/(1-AL80))</f>
        <v>1.9061358109052</v>
      </c>
      <c r="AN80" s="0" t="n">
        <f aca="false">1/POWER(1+Assumptions!$B$2,AH80)</f>
        <v>0.871284433562695</v>
      </c>
      <c r="AO80" s="0" t="n">
        <f aca="false">IF(ABS(1-AN80)&lt;0.000000000001,AK80,AN80*(1-POWER(AN80,AK80))/(1-AN80))</f>
        <v>1.63042099773136</v>
      </c>
      <c r="AP80" s="1" t="n">
        <f aca="false">AJ80*AM80+Assumptions!$B$28*AO80+(-PV(Assumptions!$B$2,C80,R80+T80+AI80))</f>
        <v>36485.6104246651</v>
      </c>
      <c r="AQ80" s="0" t="n">
        <f aca="false">N80*(1+Assumptions!$B$8)</f>
        <v>14331.0825</v>
      </c>
      <c r="AR80" s="1" t="n">
        <f aca="false">PMT(Assumptions!$B$5,Assumptions!$B$29,-AQ80)</f>
        <v>442.43670152197</v>
      </c>
      <c r="AS80" s="0" t="n">
        <f aca="false">MAX(0,AD80-H80)</f>
        <v>36</v>
      </c>
      <c r="AT80" s="0" t="n">
        <f aca="false">MIN(Assumptions!$B$29,AS80)</f>
        <v>36</v>
      </c>
      <c r="AU80" s="0" t="n">
        <f aca="false">IF(AS80&gt;=Assumptions!$B$29,0,-PV(Assumptions!$B$5,Assumptions!$B$29-AS80,AR80))</f>
        <v>0</v>
      </c>
      <c r="AV80" s="1" t="n">
        <f aca="false">(-PV(Assumptions!$B$3,AT80,AR80))/POWER(1+Assumptions!$B$2,AH80)</f>
        <v>12920.0689464524</v>
      </c>
      <c r="AW80" s="1" t="n">
        <f aca="false">-PV(Assumptions!$B$2,AH80,T80+AI80)</f>
        <v>5318.41766002654</v>
      </c>
      <c r="AX80" s="1" t="n">
        <f aca="false">(-PV(Assumptions!$B$2,C80,S80))-(-PV(Assumptions!$B$2,AH80,S80))</f>
        <v>4175.71854126704</v>
      </c>
      <c r="AY80" s="1" t="n">
        <f aca="false">AJ80+AW80+AX80+(-PV(Assumptions!$B$2,C80,R80))+X80-(W80/POWER(1+Assumptions!$B$2,C80))</f>
        <v>18366.6216019631</v>
      </c>
      <c r="AZ80" s="1" t="n">
        <f aca="false">AY80+AV80+(AU80/POWER(1+Assumptions!$B$2,C80))</f>
        <v>31286.6905484155</v>
      </c>
      <c r="BA80" s="0" t="n">
        <f aca="false">AQ80/POWER(1+Assumptions!$B$2,AH80)</f>
        <v>12486.4490983527</v>
      </c>
      <c r="BB80" s="1" t="n">
        <f aca="false">AY80+BA80</f>
        <v>30853.0707003158</v>
      </c>
      <c r="BC80" s="1" t="n">
        <f aca="false">AJ80+Assumptions!$B$28/POWER(1+Assumptions!$B$2,AH80)+(-PV(Assumptions!$B$2,AH80,R80+T80+AI80))</f>
        <v>19290.4062544041</v>
      </c>
      <c r="BD80" s="1" t="n">
        <f aca="false">MIN(Z80,AG80,AZ80)</f>
        <v>31286.6905484155</v>
      </c>
      <c r="BE80" s="0" t="str">
        <f aca="false">IF(BD80=Z80,"Cash",IF(BD80=AG80,"Loan","Lease then buy out"))</f>
        <v>Lease then buy out</v>
      </c>
    </row>
    <row r="81" customFormat="false" ht="15" hidden="false" customHeight="false" outlineLevel="0" collapsed="false">
      <c r="A81" s="0" t="s">
        <v>46</v>
      </c>
      <c r="B81" s="0" t="s">
        <v>47</v>
      </c>
      <c r="C81" s="0" t="n">
        <v>6</v>
      </c>
      <c r="D81" s="0" t="n">
        <v>0</v>
      </c>
      <c r="E81" s="0" t="n">
        <v>26239</v>
      </c>
      <c r="F81" s="0" t="n">
        <v>2840</v>
      </c>
      <c r="G81" s="0" t="n">
        <v>340</v>
      </c>
      <c r="H81" s="0" t="n">
        <v>36</v>
      </c>
      <c r="I81" s="0" t="n">
        <v>27</v>
      </c>
      <c r="J81" s="0" t="n">
        <v>7779</v>
      </c>
      <c r="K81" s="0" t="s">
        <v>35</v>
      </c>
      <c r="L81" s="0" t="n">
        <v>162</v>
      </c>
      <c r="M81" s="0" t="n">
        <f aca="false">MAX(Assumptions!$B$33,Assumptions!$B$30-Assumptions!$B$31*(H81-36)-IF(D81=1,Assumptions!$B$32,0))</f>
        <v>0.57</v>
      </c>
      <c r="N81" s="0" t="n">
        <f aca="false">E81*M81</f>
        <v>14956.23</v>
      </c>
      <c r="O81" s="0" t="n">
        <f aca="false">1-POWER(J81/E81,0.1)</f>
        <v>0.114481478757063</v>
      </c>
      <c r="P81" s="0" t="n">
        <f aca="false">E81*(1+Assumptions!$B$8)+Assumptions!$B$9</f>
        <v>27950.95</v>
      </c>
      <c r="Q81" s="0" t="n">
        <f aca="false">IF(D81=1,Assumptions!$B$14*33.7,Assumptions!$B$13)</f>
        <v>3.1</v>
      </c>
      <c r="R81" s="0" t="n">
        <f aca="false">(Assumptions!$B$10/I81)*Q81</f>
        <v>1148.14814814815</v>
      </c>
      <c r="S81" s="0" t="n">
        <f aca="false">Assumptions!$B$15+Assumptions!$B$17</f>
        <v>1750</v>
      </c>
      <c r="T81" s="0" t="n">
        <f aca="false">Assumptions!$B$15*(1+Assumptions!$B$16)+Assumptions!$B$17</f>
        <v>1942</v>
      </c>
      <c r="U81" s="0" t="n">
        <f aca="false">IF(OR(C81&gt;Assumptions!$B$11,Assumptions!$B$10*C81&gt;Assumptions!$B$12),1,0)</f>
        <v>0</v>
      </c>
      <c r="V81" s="0" t="n">
        <f aca="false">MAX(0.6,1-Assumptions!$B$22*MAX(0,(Assumptions!$B$10-10000)*C81)/10000)</f>
        <v>1</v>
      </c>
      <c r="W81" s="0" t="n">
        <f aca="false">IF(U81=1,Assumptions!$B$23,MAX(Assumptions!$B$23,E81*POWER(1-O81,C81)*V81))</f>
        <v>12651.2423339932</v>
      </c>
      <c r="X81" s="0" t="n">
        <f aca="true">SUMPRODUCT((ROW(INDIRECT("1:"&amp;C81))&gt;Assumptions!$B$20)*Assumptions!$B$18*POWER(Assumptions!$B$19,ROW(INDIRECT("1:"&amp;C81))-Assumptions!$B$20-1)*IF(ROW(INDIRECT("1:"&amp;C81))&gt;Assumptions!$B$11,Assumptions!$B$21,1)/POWER(1+Assumptions!$B$2,ROW(INDIRECT("1:"&amp;C81))))</f>
        <v>2475.151938064</v>
      </c>
      <c r="Y81" s="1" t="n">
        <f aca="false">-PV(Assumptions!$B$2,C81,R81+S81)+X81</f>
        <v>17327.448119153</v>
      </c>
      <c r="Z81" s="1" t="n">
        <f aca="false">P81+Y81-(W81/POWER(1+Assumptions!$B$2,C81))</f>
        <v>35674.3774812603</v>
      </c>
      <c r="AA81" s="0" t="n">
        <f aca="false">P81*Assumptions!$B$7</f>
        <v>2795.095</v>
      </c>
      <c r="AB81" s="0" t="n">
        <f aca="false">P81-AA81</f>
        <v>25155.855</v>
      </c>
      <c r="AC81" s="1" t="n">
        <f aca="false">PMT(Assumptions!$B$5,Assumptions!$B$6,-AB81)</f>
        <v>497.997402105186</v>
      </c>
      <c r="AD81" s="0" t="n">
        <f aca="false">C81*12</f>
        <v>72</v>
      </c>
      <c r="AE81" s="0" t="n">
        <f aca="false">MIN(Assumptions!$B$6,AD81)</f>
        <v>60</v>
      </c>
      <c r="AF81" s="0" t="n">
        <f aca="false">IF(AD81&gt;=Assumptions!$B$6,0,-PV(Assumptions!$B$5,Assumptions!$B$6-AD81,AC81))</f>
        <v>0</v>
      </c>
      <c r="AG81" s="1" t="n">
        <f aca="false">AA81+(-PV(Assumptions!$B$3,AE81,AC81))+Y81-((W81-AF81)/POWER(1+Assumptions!$B$2,C81))</f>
        <v>37100.9270747443</v>
      </c>
      <c r="AH81" s="0" t="n">
        <f aca="false">H81/12</f>
        <v>3</v>
      </c>
      <c r="AI81" s="0" t="n">
        <f aca="false">MAX(0,Assumptions!$B$10-Assumptions!$B$24)*Assumptions!$B$25</f>
        <v>0</v>
      </c>
      <c r="AJ81" s="1" t="n">
        <f aca="false">F81+Assumptions!$B$27+(-PV(Assumptions!$B$3,H81-1,G81))</f>
        <v>14640.1129335566</v>
      </c>
      <c r="AK81" s="0" t="n">
        <f aca="false">CEILING(C81/AH81,1)</f>
        <v>2</v>
      </c>
      <c r="AL81" s="0" t="n">
        <f aca="false">(1+Assumptions!$B$26)/POWER(1+Assumptions!$B$2,AH81)</f>
        <v>0.906135810905202</v>
      </c>
      <c r="AM81" s="0" t="n">
        <f aca="false">IF(ABS(1-AL81)&lt;0.000000000001,AK81,(1-POWER(AL81,AK81))/(1-AL81))</f>
        <v>1.9061358109052</v>
      </c>
      <c r="AN81" s="0" t="n">
        <f aca="false">1/POWER(1+Assumptions!$B$2,AH81)</f>
        <v>0.871284433562695</v>
      </c>
      <c r="AO81" s="0" t="n">
        <f aca="false">IF(ABS(1-AN81)&lt;0.000000000001,AK81,AN81*(1-POWER(AN81,AK81))/(1-AN81))</f>
        <v>1.63042099773136</v>
      </c>
      <c r="AP81" s="1" t="n">
        <f aca="false">AJ81*AM81+Assumptions!$B$28*AO81+(-PV(Assumptions!$B$2,C81,R81+T81+AI81))</f>
        <v>44394.460877671</v>
      </c>
      <c r="AQ81" s="0" t="n">
        <f aca="false">N81*(1+Assumptions!$B$8)</f>
        <v>15704.0415</v>
      </c>
      <c r="AR81" s="1" t="n">
        <f aca="false">PMT(Assumptions!$B$5,Assumptions!$B$29,-AQ81)</f>
        <v>484.823412455</v>
      </c>
      <c r="AS81" s="0" t="n">
        <f aca="false">MAX(0,AD81-H81)</f>
        <v>36</v>
      </c>
      <c r="AT81" s="0" t="n">
        <f aca="false">MIN(Assumptions!$B$29,AS81)</f>
        <v>36</v>
      </c>
      <c r="AU81" s="0" t="n">
        <f aca="false">IF(AS81&gt;=Assumptions!$B$29,0,-PV(Assumptions!$B$5,Assumptions!$B$29-AS81,AR81))</f>
        <v>0</v>
      </c>
      <c r="AV81" s="1" t="n">
        <f aca="false">(-PV(Assumptions!$B$3,AT81,AR81))/POWER(1+Assumptions!$B$2,AH81)</f>
        <v>14157.8487820407</v>
      </c>
      <c r="AW81" s="1" t="n">
        <f aca="false">-PV(Assumptions!$B$2,AH81,T81+AI81)</f>
        <v>5318.41766002654</v>
      </c>
      <c r="AX81" s="1" t="n">
        <f aca="false">(-PV(Assumptions!$B$2,C81,S81))-(-PV(Assumptions!$B$2,AH81,S81))</f>
        <v>4175.71854126704</v>
      </c>
      <c r="AY81" s="1" t="n">
        <f aca="false">AJ81+AW81+AX81+(-PV(Assumptions!$B$2,C81,R81))+X81-(W81/POWER(1+Assumptions!$B$2,C81))</f>
        <v>22889.3571968586</v>
      </c>
      <c r="AZ81" s="1" t="n">
        <f aca="false">AY81+AV81+(AU81/POWER(1+Assumptions!$B$2,C81))</f>
        <v>37047.2059788994</v>
      </c>
      <c r="BA81" s="0" t="n">
        <f aca="false">AQ81/POWER(1+Assumptions!$B$2,AH81)</f>
        <v>13682.6869029725</v>
      </c>
      <c r="BB81" s="1" t="n">
        <f aca="false">AY81+BA81</f>
        <v>36572.0440998312</v>
      </c>
      <c r="BC81" s="1" t="n">
        <f aca="false">AJ81+Assumptions!$B$28/POWER(1+Assumptions!$B$2,AH81)+(-PV(Assumptions!$B$2,AH81,R81+T81+AI81))</f>
        <v>23451.3962657919</v>
      </c>
      <c r="BD81" s="1" t="n">
        <f aca="false">MIN(Z81,AG81,AZ81)</f>
        <v>35674.3774812603</v>
      </c>
      <c r="BE81" s="0" t="str">
        <f aca="false">IF(BD81=Z81,"Cash",IF(BD81=AG81,"Loan","Lease then buy out"))</f>
        <v>Cash</v>
      </c>
    </row>
    <row r="82" customFormat="false" ht="15" hidden="false" customHeight="false" outlineLevel="0" collapsed="false">
      <c r="A82" s="0" t="s">
        <v>48</v>
      </c>
      <c r="B82" s="0" t="s">
        <v>49</v>
      </c>
      <c r="C82" s="0" t="n">
        <v>6</v>
      </c>
      <c r="D82" s="0" t="n">
        <v>0</v>
      </c>
      <c r="E82" s="0" t="n">
        <v>30658</v>
      </c>
      <c r="F82" s="0" t="n">
        <v>2865</v>
      </c>
      <c r="G82" s="0" t="n">
        <v>365</v>
      </c>
      <c r="H82" s="0" t="n">
        <v>36</v>
      </c>
      <c r="I82" s="0" t="n">
        <v>30</v>
      </c>
      <c r="J82" s="0" t="n">
        <v>9758</v>
      </c>
      <c r="K82" s="0" t="s">
        <v>35</v>
      </c>
      <c r="L82" s="0" t="n">
        <v>174.1</v>
      </c>
      <c r="M82" s="0" t="n">
        <f aca="false">MAX(Assumptions!$B$33,Assumptions!$B$30-Assumptions!$B$31*(H82-36)-IF(D82=1,Assumptions!$B$32,0))</f>
        <v>0.57</v>
      </c>
      <c r="N82" s="0" t="n">
        <f aca="false">E82*M82</f>
        <v>17475.06</v>
      </c>
      <c r="O82" s="0" t="n">
        <f aca="false">1-POWER(J82/E82,0.1)</f>
        <v>0.108170776168246</v>
      </c>
      <c r="P82" s="0" t="n">
        <f aca="false">E82*(1+Assumptions!$B$8)+Assumptions!$B$9</f>
        <v>32590.9</v>
      </c>
      <c r="Q82" s="0" t="n">
        <f aca="false">IF(D82=1,Assumptions!$B$14*33.7,Assumptions!$B$13)</f>
        <v>3.1</v>
      </c>
      <c r="R82" s="0" t="n">
        <f aca="false">(Assumptions!$B$10/I82)*Q82</f>
        <v>1033.33333333333</v>
      </c>
      <c r="S82" s="0" t="n">
        <f aca="false">Assumptions!$B$15+Assumptions!$B$17</f>
        <v>1750</v>
      </c>
      <c r="T82" s="0" t="n">
        <f aca="false">Assumptions!$B$15*(1+Assumptions!$B$16)+Assumptions!$B$17</f>
        <v>1942</v>
      </c>
      <c r="U82" s="0" t="n">
        <f aca="false">IF(OR(C82&gt;Assumptions!$B$11,Assumptions!$B$10*C82&gt;Assumptions!$B$12),1,0)</f>
        <v>0</v>
      </c>
      <c r="V82" s="0" t="n">
        <f aca="false">MAX(0.6,1-Assumptions!$B$22*MAX(0,(Assumptions!$B$10-10000)*C82)/10000)</f>
        <v>1</v>
      </c>
      <c r="W82" s="0" t="n">
        <f aca="false">IF(U82=1,Assumptions!$B$23,MAX(Assumptions!$B$23,E82*POWER(1-O82,C82)*V82))</f>
        <v>15425.314101583</v>
      </c>
      <c r="X82" s="0" t="n">
        <f aca="true">SUMPRODUCT((ROW(INDIRECT("1:"&amp;C82))&gt;Assumptions!$B$20)*Assumptions!$B$18*POWER(Assumptions!$B$19,ROW(INDIRECT("1:"&amp;C82))-Assumptions!$B$20-1)*IF(ROW(INDIRECT("1:"&amp;C82))&gt;Assumptions!$B$11,Assumptions!$B$21,1)/POWER(1+Assumptions!$B$2,ROW(INDIRECT("1:"&amp;C82))))</f>
        <v>2475.151938064</v>
      </c>
      <c r="Y82" s="1" t="n">
        <f aca="false">-PV(Assumptions!$B$2,C82,R82+S82)+X82</f>
        <v>16739.0504429693</v>
      </c>
      <c r="Z82" s="1" t="n">
        <f aca="false">P82+Y82-(W82/POWER(1+Assumptions!$B$2,C82))</f>
        <v>37620.0304946711</v>
      </c>
      <c r="AA82" s="0" t="n">
        <f aca="false">P82*Assumptions!$B$7</f>
        <v>3259.09</v>
      </c>
      <c r="AB82" s="0" t="n">
        <f aca="false">P82-AA82</f>
        <v>29331.81</v>
      </c>
      <c r="AC82" s="1" t="n">
        <f aca="false">PMT(Assumptions!$B$5,Assumptions!$B$6,-AB82)</f>
        <v>580.666615348312</v>
      </c>
      <c r="AD82" s="0" t="n">
        <f aca="false">C82*12</f>
        <v>72</v>
      </c>
      <c r="AE82" s="0" t="n">
        <f aca="false">MIN(Assumptions!$B$6,AD82)</f>
        <v>60</v>
      </c>
      <c r="AF82" s="0" t="n">
        <f aca="false">IF(AD82&gt;=Assumptions!$B$6,0,-PV(Assumptions!$B$5,Assumptions!$B$6-AD82,AC82))</f>
        <v>0</v>
      </c>
      <c r="AG82" s="1" t="n">
        <f aca="false">AA82+(-PV(Assumptions!$B$3,AE82,AC82))+Y82-((W82-AF82)/POWER(1+Assumptions!$B$2,C82))</f>
        <v>39283.3920314445</v>
      </c>
      <c r="AH82" s="0" t="n">
        <f aca="false">H82/12</f>
        <v>3</v>
      </c>
      <c r="AI82" s="0" t="n">
        <f aca="false">MAX(0,Assumptions!$B$10-Assumptions!$B$24)*Assumptions!$B$25</f>
        <v>0</v>
      </c>
      <c r="AJ82" s="1" t="n">
        <f aca="false">F82+Assumptions!$B$27+(-PV(Assumptions!$B$3,H82-1,G82))</f>
        <v>15481.2977080828</v>
      </c>
      <c r="AK82" s="0" t="n">
        <f aca="false">CEILING(C82/AH82,1)</f>
        <v>2</v>
      </c>
      <c r="AL82" s="0" t="n">
        <f aca="false">(1+Assumptions!$B$26)/POWER(1+Assumptions!$B$2,AH82)</f>
        <v>0.906135810905202</v>
      </c>
      <c r="AM82" s="0" t="n">
        <f aca="false">IF(ABS(1-AL82)&lt;0.000000000001,AK82,(1-POWER(AL82,AK82))/(1-AL82))</f>
        <v>1.9061358109052</v>
      </c>
      <c r="AN82" s="0" t="n">
        <f aca="false">1/POWER(1+Assumptions!$B$2,AH82)</f>
        <v>0.871284433562695</v>
      </c>
      <c r="AO82" s="0" t="n">
        <f aca="false">IF(ABS(1-AN82)&lt;0.000000000001,AK82,AN82*(1-POWER(AN82,AK82))/(1-AN82))</f>
        <v>1.63042099773136</v>
      </c>
      <c r="AP82" s="1" t="n">
        <f aca="false">AJ82*AM82+Assumptions!$B$28*AO82+(-PV(Assumptions!$B$2,C82,R82+T82+AI82))</f>
        <v>45409.4756237999</v>
      </c>
      <c r="AQ82" s="0" t="n">
        <f aca="false">N82*(1+Assumptions!$B$8)</f>
        <v>18348.813</v>
      </c>
      <c r="AR82" s="1" t="n">
        <f aca="false">PMT(Assumptions!$B$5,Assumptions!$B$29,-AQ82)</f>
        <v>566.474186479873</v>
      </c>
      <c r="AS82" s="0" t="n">
        <f aca="false">MAX(0,AD82-H82)</f>
        <v>36</v>
      </c>
      <c r="AT82" s="0" t="n">
        <f aca="false">MIN(Assumptions!$B$29,AS82)</f>
        <v>36</v>
      </c>
      <c r="AU82" s="0" t="n">
        <f aca="false">IF(AS82&gt;=Assumptions!$B$29,0,-PV(Assumptions!$B$5,Assumptions!$B$29-AS82,AR82))</f>
        <v>0</v>
      </c>
      <c r="AV82" s="1" t="n">
        <f aca="false">(-PV(Assumptions!$B$3,AT82,AR82))/POWER(1+Assumptions!$B$2,AH82)</f>
        <v>16542.2206623654</v>
      </c>
      <c r="AW82" s="1" t="n">
        <f aca="false">-PV(Assumptions!$B$2,AH82,T82+AI82)</f>
        <v>5318.41766002654</v>
      </c>
      <c r="AX82" s="1" t="n">
        <f aca="false">(-PV(Assumptions!$B$2,C82,S82))-(-PV(Assumptions!$B$2,AH82,S82))</f>
        <v>4175.71854126704</v>
      </c>
      <c r="AY82" s="1" t="n">
        <f aca="false">AJ82+AW82+AX82+(-PV(Assumptions!$B$2,C82,R82))+X82-(W82/POWER(1+Assumptions!$B$2,C82))</f>
        <v>21036.2449847957</v>
      </c>
      <c r="AZ82" s="1" t="n">
        <f aca="false">AY82+AV82+(AU82/POWER(1+Assumptions!$B$2,C82))</f>
        <v>37578.465647161</v>
      </c>
      <c r="BA82" s="0" t="n">
        <f aca="false">AQ82/POWER(1+Assumptions!$B$2,AH82)</f>
        <v>15987.0351412528</v>
      </c>
      <c r="BB82" s="1" t="n">
        <f aca="false">AY82+BA82</f>
        <v>37023.2801260485</v>
      </c>
      <c r="BC82" s="1" t="n">
        <f aca="false">AJ82+Assumptions!$B$28/POWER(1+Assumptions!$B$2,AH82)+(-PV(Assumptions!$B$2,AH82,R82+T82+AI82))</f>
        <v>23978.1458504398</v>
      </c>
      <c r="BD82" s="1" t="n">
        <f aca="false">MIN(Z82,AG82,AZ82)</f>
        <v>37578.465647161</v>
      </c>
      <c r="BE82" s="0" t="str">
        <f aca="false">IF(BD82=Z82,"Cash",IF(BD82=AG82,"Loan","Lease then buy out"))</f>
        <v>Lease then buy out</v>
      </c>
    </row>
    <row r="83" customFormat="false" ht="15" hidden="false" customHeight="false" outlineLevel="0" collapsed="false">
      <c r="A83" s="0" t="s">
        <v>31</v>
      </c>
      <c r="B83" s="0" t="s">
        <v>50</v>
      </c>
      <c r="C83" s="0" t="n">
        <v>6</v>
      </c>
      <c r="D83" s="0" t="n">
        <v>0</v>
      </c>
      <c r="E83" s="0" t="n">
        <v>28977</v>
      </c>
      <c r="F83" s="0" t="n">
        <v>2794</v>
      </c>
      <c r="G83" s="0" t="n">
        <v>294</v>
      </c>
      <c r="H83" s="0" t="n">
        <v>36</v>
      </c>
      <c r="I83" s="0" t="n">
        <v>25.5</v>
      </c>
      <c r="J83" s="0" t="n">
        <v>11499</v>
      </c>
      <c r="K83" s="0" t="s">
        <v>35</v>
      </c>
      <c r="L83" s="0" t="n">
        <v>174.2</v>
      </c>
      <c r="M83" s="0" t="n">
        <f aca="false">MAX(Assumptions!$B$33,Assumptions!$B$30-Assumptions!$B$31*(H83-36)-IF(D83=1,Assumptions!$B$32,0))</f>
        <v>0.57</v>
      </c>
      <c r="N83" s="0" t="n">
        <f aca="false">E83*M83</f>
        <v>16516.89</v>
      </c>
      <c r="O83" s="0" t="n">
        <f aca="false">1-POWER(J83/E83,0.1)</f>
        <v>0.0882817141128345</v>
      </c>
      <c r="P83" s="0" t="n">
        <f aca="false">E83*(1+Assumptions!$B$8)+Assumptions!$B$9</f>
        <v>30825.85</v>
      </c>
      <c r="Q83" s="0" t="n">
        <f aca="false">IF(D83=1,Assumptions!$B$14*33.7,Assumptions!$B$13)</f>
        <v>3.1</v>
      </c>
      <c r="R83" s="0" t="n">
        <f aca="false">(Assumptions!$B$10/I83)*Q83</f>
        <v>1215.6862745098</v>
      </c>
      <c r="S83" s="0" t="n">
        <f aca="false">Assumptions!$B$15+Assumptions!$B$17</f>
        <v>1750</v>
      </c>
      <c r="T83" s="0" t="n">
        <f aca="false">Assumptions!$B$15*(1+Assumptions!$B$16)+Assumptions!$B$17</f>
        <v>1942</v>
      </c>
      <c r="U83" s="0" t="n">
        <f aca="false">IF(OR(C83&gt;Assumptions!$B$11,Assumptions!$B$10*C83&gt;Assumptions!$B$12),1,0)</f>
        <v>0</v>
      </c>
      <c r="V83" s="0" t="n">
        <f aca="false">MAX(0.6,1-Assumptions!$B$22*MAX(0,(Assumptions!$B$10-10000)*C83)/10000)</f>
        <v>1</v>
      </c>
      <c r="W83" s="0" t="n">
        <f aca="false">IF(U83=1,Assumptions!$B$23,MAX(Assumptions!$B$23,E83*POWER(1-O83,C83)*V83))</f>
        <v>16642.4558191024</v>
      </c>
      <c r="X83" s="0" t="n">
        <f aca="true">SUMPRODUCT((ROW(INDIRECT("1:"&amp;C83))&gt;Assumptions!$B$20)*Assumptions!$B$18*POWER(Assumptions!$B$19,ROW(INDIRECT("1:"&amp;C83))-Assumptions!$B$20-1)*IF(ROW(INDIRECT("1:"&amp;C83))&gt;Assumptions!$B$11,Assumptions!$B$21,1)/POWER(1+Assumptions!$B$2,ROW(INDIRECT("1:"&amp;C83))))</f>
        <v>2475.151938064</v>
      </c>
      <c r="Y83" s="1" t="n">
        <f aca="false">-PV(Assumptions!$B$2,C83,R83+S83)+X83</f>
        <v>17673.5643992611</v>
      </c>
      <c r="Z83" s="1" t="n">
        <f aca="false">P83+Y83-(W83/POWER(1+Assumptions!$B$2,C83))</f>
        <v>35865.5176694188</v>
      </c>
      <c r="AA83" s="0" t="n">
        <f aca="false">P83*Assumptions!$B$7</f>
        <v>3082.585</v>
      </c>
      <c r="AB83" s="0" t="n">
        <f aca="false">P83-AA83</f>
        <v>27743.265</v>
      </c>
      <c r="AC83" s="1" t="n">
        <f aca="false">PMT(Assumptions!$B$5,Assumptions!$B$6,-AB83)</f>
        <v>549.219014655464</v>
      </c>
      <c r="AD83" s="0" t="n">
        <f aca="false">C83*12</f>
        <v>72</v>
      </c>
      <c r="AE83" s="0" t="n">
        <f aca="false">MIN(Assumptions!$B$6,AD83)</f>
        <v>60</v>
      </c>
      <c r="AF83" s="0" t="n">
        <f aca="false">IF(AD83&gt;=Assumptions!$B$6,0,-PV(Assumptions!$B$5,Assumptions!$B$6-AD83,AC83))</f>
        <v>0</v>
      </c>
      <c r="AG83" s="1" t="n">
        <f aca="false">AA83+(-PV(Assumptions!$B$3,AE83,AC83))+Y83-((W83-AF83)/POWER(1+Assumptions!$B$2,C83))</f>
        <v>37438.7952784554</v>
      </c>
      <c r="AH83" s="0" t="n">
        <f aca="false">H83/12</f>
        <v>3</v>
      </c>
      <c r="AI83" s="0" t="n">
        <f aca="false">MAX(0,Assumptions!$B$10-Assumptions!$B$24)*Assumptions!$B$25</f>
        <v>0</v>
      </c>
      <c r="AJ83" s="1" t="n">
        <f aca="false">F83+Assumptions!$B$27+(-PV(Assumptions!$B$3,H83-1,G83))</f>
        <v>13092.3329484284</v>
      </c>
      <c r="AK83" s="0" t="n">
        <f aca="false">CEILING(C83/AH83,1)</f>
        <v>2</v>
      </c>
      <c r="AL83" s="0" t="n">
        <f aca="false">(1+Assumptions!$B$26)/POWER(1+Assumptions!$B$2,AH83)</f>
        <v>0.906135810905202</v>
      </c>
      <c r="AM83" s="0" t="n">
        <f aca="false">IF(ABS(1-AL83)&lt;0.000000000001,AK83,(1-POWER(AL83,AK83))/(1-AL83))</f>
        <v>1.9061358109052</v>
      </c>
      <c r="AN83" s="0" t="n">
        <f aca="false">1/POWER(1+Assumptions!$B$2,AH83)</f>
        <v>0.871284433562695</v>
      </c>
      <c r="AO83" s="0" t="n">
        <f aca="false">IF(ABS(1-AN83)&lt;0.000000000001,AK83,AN83*(1-POWER(AN83,AK83))/(1-AN83))</f>
        <v>1.63042099773136</v>
      </c>
      <c r="AP83" s="1" t="n">
        <f aca="false">AJ83*AM83+Assumptions!$B$28*AO83+(-PV(Assumptions!$B$2,C83,R83+T83+AI83))</f>
        <v>41790.2983007238</v>
      </c>
      <c r="AQ83" s="0" t="n">
        <f aca="false">N83*(1+Assumptions!$B$8)</f>
        <v>17342.7345</v>
      </c>
      <c r="AR83" s="1" t="n">
        <f aca="false">PMT(Assumptions!$B$5,Assumptions!$B$29,-AQ83)</f>
        <v>535.414002923455</v>
      </c>
      <c r="AS83" s="0" t="n">
        <f aca="false">MAX(0,AD83-H83)</f>
        <v>36</v>
      </c>
      <c r="AT83" s="0" t="n">
        <f aca="false">MIN(Assumptions!$B$29,AS83)</f>
        <v>36</v>
      </c>
      <c r="AU83" s="0" t="n">
        <f aca="false">IF(AS83&gt;=Assumptions!$B$29,0,-PV(Assumptions!$B$5,Assumptions!$B$29-AS83,AR83))</f>
        <v>0</v>
      </c>
      <c r="AV83" s="1" t="n">
        <f aca="false">(-PV(Assumptions!$B$3,AT83,AR83))/POWER(1+Assumptions!$B$2,AH83)</f>
        <v>15635.1989083881</v>
      </c>
      <c r="AW83" s="1" t="n">
        <f aca="false">-PV(Assumptions!$B$2,AH83,T83+AI83)</f>
        <v>5318.41766002654</v>
      </c>
      <c r="AX83" s="1" t="n">
        <f aca="false">(-PV(Assumptions!$B$2,C83,S83))-(-PV(Assumptions!$B$2,AH83,S83))</f>
        <v>4175.71854126704</v>
      </c>
      <c r="AY83" s="1" t="n">
        <f aca="false">AJ83+AW83+AX83+(-PV(Assumptions!$B$2,C83,R83))+X83-(W83/POWER(1+Assumptions!$B$2,C83))</f>
        <v>18657.817399889</v>
      </c>
      <c r="AZ83" s="1" t="n">
        <f aca="false">AY83+AV83+(AU83/POWER(1+Assumptions!$B$2,C83))</f>
        <v>34293.016308277</v>
      </c>
      <c r="BA83" s="0" t="n">
        <f aca="false">AQ83/POWER(1+Assumptions!$B$2,AH83)</f>
        <v>15110.4546052607</v>
      </c>
      <c r="BB83" s="1" t="n">
        <f aca="false">AY83+BA83</f>
        <v>33768.2720051497</v>
      </c>
      <c r="BC83" s="1" t="n">
        <f aca="false">AJ83+Assumptions!$B$28/POWER(1+Assumptions!$B$2,AH83)+(-PV(Assumptions!$B$2,AH83,R83+T83+AI83))</f>
        <v>22088.5781570627</v>
      </c>
      <c r="BD83" s="1" t="n">
        <f aca="false">MIN(Z83,AG83,AZ83)</f>
        <v>34293.016308277</v>
      </c>
      <c r="BE83" s="0" t="str">
        <f aca="false">IF(BD83=Z83,"Cash",IF(BD83=AG83,"Loan","Lease then buy out"))</f>
        <v>Lease then buy out</v>
      </c>
    </row>
    <row r="84" customFormat="false" ht="15" hidden="false" customHeight="false" outlineLevel="0" collapsed="false">
      <c r="A84" s="0" t="s">
        <v>51</v>
      </c>
      <c r="B84" s="0" t="s">
        <v>52</v>
      </c>
      <c r="C84" s="0" t="n">
        <v>6</v>
      </c>
      <c r="D84" s="0" t="n">
        <v>0</v>
      </c>
      <c r="E84" s="0" t="n">
        <v>27021</v>
      </c>
      <c r="F84" s="0" t="n">
        <v>2879</v>
      </c>
      <c r="G84" s="0" t="n">
        <v>379</v>
      </c>
      <c r="H84" s="0" t="n">
        <v>36</v>
      </c>
      <c r="I84" s="0" t="n">
        <v>30</v>
      </c>
      <c r="J84" s="0" t="n">
        <v>7378</v>
      </c>
      <c r="K84" s="0" t="s">
        <v>35</v>
      </c>
      <c r="L84" s="0" t="n">
        <v>148.4</v>
      </c>
      <c r="M84" s="0" t="n">
        <f aca="false">MAX(Assumptions!$B$33,Assumptions!$B$30-Assumptions!$B$31*(H84-36)-IF(D84=1,Assumptions!$B$32,0))</f>
        <v>0.57</v>
      </c>
      <c r="N84" s="0" t="n">
        <f aca="false">E84*M84</f>
        <v>15401.97</v>
      </c>
      <c r="O84" s="0" t="n">
        <f aca="false">1-POWER(J84/E84,0.1)</f>
        <v>0.121738746377836</v>
      </c>
      <c r="P84" s="0" t="n">
        <f aca="false">E84*(1+Assumptions!$B$8)+Assumptions!$B$9</f>
        <v>28772.05</v>
      </c>
      <c r="Q84" s="0" t="n">
        <f aca="false">IF(D84=1,Assumptions!$B$14*33.7,Assumptions!$B$13)</f>
        <v>3.1</v>
      </c>
      <c r="R84" s="0" t="n">
        <f aca="false">(Assumptions!$B$10/I84)*Q84</f>
        <v>1033.33333333333</v>
      </c>
      <c r="S84" s="0" t="n">
        <f aca="false">Assumptions!$B$15+Assumptions!$B$17</f>
        <v>1750</v>
      </c>
      <c r="T84" s="0" t="n">
        <f aca="false">Assumptions!$B$15*(1+Assumptions!$B$16)+Assumptions!$B$17</f>
        <v>1942</v>
      </c>
      <c r="U84" s="0" t="n">
        <f aca="false">IF(OR(C84&gt;Assumptions!$B$11,Assumptions!$B$10*C84&gt;Assumptions!$B$12),1,0)</f>
        <v>0</v>
      </c>
      <c r="V84" s="0" t="n">
        <f aca="false">MAX(0.6,1-Assumptions!$B$22*MAX(0,(Assumptions!$B$10-10000)*C84)/10000)</f>
        <v>1</v>
      </c>
      <c r="W84" s="0" t="n">
        <f aca="false">IF(U84=1,Assumptions!$B$23,MAX(Assumptions!$B$23,E84*POWER(1-O84,C84)*V84))</f>
        <v>12400.6302271867</v>
      </c>
      <c r="X84" s="0" t="n">
        <f aca="true">SUMPRODUCT((ROW(INDIRECT("1:"&amp;C84))&gt;Assumptions!$B$20)*Assumptions!$B$18*POWER(Assumptions!$B$19,ROW(INDIRECT("1:"&amp;C84))-Assumptions!$B$20-1)*IF(ROW(INDIRECT("1:"&amp;C84))&gt;Assumptions!$B$11,Assumptions!$B$21,1)/POWER(1+Assumptions!$B$2,ROW(INDIRECT("1:"&amp;C84))))</f>
        <v>2475.151938064</v>
      </c>
      <c r="Y84" s="1" t="n">
        <f aca="false">-PV(Assumptions!$B$2,C84,R84+S84)+X84</f>
        <v>16739.0504429693</v>
      </c>
      <c r="Z84" s="1" t="n">
        <f aca="false">P84+Y84-(W84/POWER(1+Assumptions!$B$2,C84))</f>
        <v>36097.3286187767</v>
      </c>
      <c r="AA84" s="0" t="n">
        <f aca="false">P84*Assumptions!$B$7</f>
        <v>2877.205</v>
      </c>
      <c r="AB84" s="0" t="n">
        <f aca="false">P84-AA84</f>
        <v>25894.845</v>
      </c>
      <c r="AC84" s="1" t="n">
        <f aca="false">PMT(Assumptions!$B$5,Assumptions!$B$6,-AB84)</f>
        <v>512.626803498289</v>
      </c>
      <c r="AD84" s="0" t="n">
        <f aca="false">C84*12</f>
        <v>72</v>
      </c>
      <c r="AE84" s="0" t="n">
        <f aca="false">MIN(Assumptions!$B$6,AD84)</f>
        <v>60</v>
      </c>
      <c r="AF84" s="0" t="n">
        <f aca="false">IF(AD84&gt;=Assumptions!$B$6,0,-PV(Assumptions!$B$5,Assumptions!$B$6-AD84,AC84))</f>
        <v>0</v>
      </c>
      <c r="AG84" s="1" t="n">
        <f aca="false">AA84+(-PV(Assumptions!$B$3,AE84,AC84))+Y84-((W84-AF84)/POWER(1+Assumptions!$B$2,C84))</f>
        <v>37565.7851911365</v>
      </c>
      <c r="AH84" s="0" t="n">
        <f aca="false">H84/12</f>
        <v>3</v>
      </c>
      <c r="AI84" s="0" t="n">
        <f aca="false">MAX(0,Assumptions!$B$10-Assumptions!$B$24)*Assumptions!$B$25</f>
        <v>0</v>
      </c>
      <c r="AJ84" s="1" t="n">
        <f aca="false">F84+Assumptions!$B$27+(-PV(Assumptions!$B$3,H84-1,G84))</f>
        <v>15952.3611818175</v>
      </c>
      <c r="AK84" s="0" t="n">
        <f aca="false">CEILING(C84/AH84,1)</f>
        <v>2</v>
      </c>
      <c r="AL84" s="0" t="n">
        <f aca="false">(1+Assumptions!$B$26)/POWER(1+Assumptions!$B$2,AH84)</f>
        <v>0.906135810905202</v>
      </c>
      <c r="AM84" s="0" t="n">
        <f aca="false">IF(ABS(1-AL84)&lt;0.000000000001,AK84,(1-POWER(AL84,AK84))/(1-AL84))</f>
        <v>1.9061358109052</v>
      </c>
      <c r="AN84" s="0" t="n">
        <f aca="false">1/POWER(1+Assumptions!$B$2,AH84)</f>
        <v>0.871284433562695</v>
      </c>
      <c r="AO84" s="0" t="n">
        <f aca="false">IF(ABS(1-AN84)&lt;0.000000000001,AK84,AN84*(1-POWER(AN84,AK84))/(1-AN84))</f>
        <v>1.63042099773136</v>
      </c>
      <c r="AP84" s="1" t="n">
        <f aca="false">AJ84*AM84+Assumptions!$B$28*AO84+(-PV(Assumptions!$B$2,C84,R84+T84+AI84))</f>
        <v>46307.386580295</v>
      </c>
      <c r="AQ84" s="0" t="n">
        <f aca="false">N84*(1+Assumptions!$B$8)</f>
        <v>16172.0685</v>
      </c>
      <c r="AR84" s="1" t="n">
        <f aca="false">PMT(Assumptions!$B$5,Assumptions!$B$29,-AQ84)</f>
        <v>499.272587672798</v>
      </c>
      <c r="AS84" s="0" t="n">
        <f aca="false">MAX(0,AD84-H84)</f>
        <v>36</v>
      </c>
      <c r="AT84" s="0" t="n">
        <f aca="false">MIN(Assumptions!$B$29,AS84)</f>
        <v>36</v>
      </c>
      <c r="AU84" s="0" t="n">
        <f aca="false">IF(AS84&gt;=Assumptions!$B$29,0,-PV(Assumptions!$B$5,Assumptions!$B$29-AS84,AR84))</f>
        <v>0</v>
      </c>
      <c r="AV84" s="1" t="n">
        <f aca="false">(-PV(Assumptions!$B$3,AT84,AR84))/POWER(1+Assumptions!$B$2,AH84)</f>
        <v>14579.7946545037</v>
      </c>
      <c r="AW84" s="1" t="n">
        <f aca="false">-PV(Assumptions!$B$2,AH84,T84+AI84)</f>
        <v>5318.41766002654</v>
      </c>
      <c r="AX84" s="1" t="n">
        <f aca="false">(-PV(Assumptions!$B$2,C84,S84))-(-PV(Assumptions!$B$2,AH84,S84))</f>
        <v>4175.71854126704</v>
      </c>
      <c r="AY84" s="1" t="n">
        <f aca="false">AJ84+AW84+AX84+(-PV(Assumptions!$B$2,C84,R84))+X84-(W84/POWER(1+Assumptions!$B$2,C84))</f>
        <v>23803.456582636</v>
      </c>
      <c r="AZ84" s="1" t="n">
        <f aca="false">AY84+AV84+(AU84/POWER(1+Assumptions!$B$2,C84))</f>
        <v>38383.2512371397</v>
      </c>
      <c r="BA84" s="0" t="n">
        <f aca="false">AQ84/POWER(1+Assumptions!$B$2,AH84)</f>
        <v>14090.4715425596</v>
      </c>
      <c r="BB84" s="1" t="n">
        <f aca="false">AY84+BA84</f>
        <v>37893.9281251956</v>
      </c>
      <c r="BC84" s="1" t="n">
        <f aca="false">AJ84+Assumptions!$B$28/POWER(1+Assumptions!$B$2,AH84)+(-PV(Assumptions!$B$2,AH84,R84+T84+AI84))</f>
        <v>24449.2093241744</v>
      </c>
      <c r="BD84" s="1" t="n">
        <f aca="false">MIN(Z84,AG84,AZ84)</f>
        <v>36097.3286187767</v>
      </c>
      <c r="BE84" s="0" t="str">
        <f aca="false">IF(BD84=Z84,"Cash",IF(BD84=AG84,"Loan","Lease then buy out"))</f>
        <v>Cash</v>
      </c>
    </row>
    <row r="85" customFormat="false" ht="15" hidden="false" customHeight="false" outlineLevel="0" collapsed="false">
      <c r="A85" s="0" t="s">
        <v>53</v>
      </c>
      <c r="B85" s="0" t="s">
        <v>54</v>
      </c>
      <c r="C85" s="0" t="n">
        <v>6</v>
      </c>
      <c r="D85" s="0" t="n">
        <v>0</v>
      </c>
      <c r="E85" s="0" t="n">
        <v>27705</v>
      </c>
      <c r="F85" s="0" t="n">
        <v>3408</v>
      </c>
      <c r="G85" s="0" t="n">
        <v>408</v>
      </c>
      <c r="H85" s="0" t="n">
        <v>36</v>
      </c>
      <c r="I85" s="0" t="n">
        <v>30</v>
      </c>
      <c r="J85" s="0" t="n">
        <v>7884</v>
      </c>
      <c r="K85" s="0" t="s">
        <v>35</v>
      </c>
      <c r="L85" s="0" t="n">
        <v>146.2</v>
      </c>
      <c r="M85" s="0" t="n">
        <f aca="false">MAX(Assumptions!$B$33,Assumptions!$B$30-Assumptions!$B$31*(H85-36)-IF(D85=1,Assumptions!$B$32,0))</f>
        <v>0.57</v>
      </c>
      <c r="N85" s="0" t="n">
        <f aca="false">E85*M85</f>
        <v>15791.85</v>
      </c>
      <c r="O85" s="0" t="n">
        <f aca="false">1-POWER(J85/E85,0.1)</f>
        <v>0.118101008200628</v>
      </c>
      <c r="P85" s="0" t="n">
        <f aca="false">E85*(1+Assumptions!$B$8)+Assumptions!$B$9</f>
        <v>29490.25</v>
      </c>
      <c r="Q85" s="0" t="n">
        <f aca="false">IF(D85=1,Assumptions!$B$14*33.7,Assumptions!$B$13)</f>
        <v>3.1</v>
      </c>
      <c r="R85" s="0" t="n">
        <f aca="false">(Assumptions!$B$10/I85)*Q85</f>
        <v>1033.33333333333</v>
      </c>
      <c r="S85" s="0" t="n">
        <f aca="false">Assumptions!$B$15+Assumptions!$B$17</f>
        <v>1750</v>
      </c>
      <c r="T85" s="0" t="n">
        <f aca="false">Assumptions!$B$15*(1+Assumptions!$B$16)+Assumptions!$B$17</f>
        <v>1942</v>
      </c>
      <c r="U85" s="0" t="n">
        <f aca="false">IF(OR(C85&gt;Assumptions!$B$11,Assumptions!$B$10*C85&gt;Assumptions!$B$12),1,0)</f>
        <v>0</v>
      </c>
      <c r="V85" s="0" t="n">
        <f aca="false">MAX(0.6,1-Assumptions!$B$22*MAX(0,(Assumptions!$B$10-10000)*C85)/10000)</f>
        <v>1</v>
      </c>
      <c r="W85" s="0" t="n">
        <f aca="false">IF(U85=1,Assumptions!$B$23,MAX(Assumptions!$B$23,E85*POWER(1-O85,C85)*V85))</f>
        <v>13033.8053594111</v>
      </c>
      <c r="X85" s="0" t="n">
        <f aca="true">SUMPRODUCT((ROW(INDIRECT("1:"&amp;C85))&gt;Assumptions!$B$20)*Assumptions!$B$18*POWER(Assumptions!$B$19,ROW(INDIRECT("1:"&amp;C85))-Assumptions!$B$20-1)*IF(ROW(INDIRECT("1:"&amp;C85))&gt;Assumptions!$B$11,Assumptions!$B$21,1)/POWER(1+Assumptions!$B$2,ROW(INDIRECT("1:"&amp;C85))))</f>
        <v>2475.151938064</v>
      </c>
      <c r="Y85" s="1" t="n">
        <f aca="false">-PV(Assumptions!$B$2,C85,R85+S85)+X85</f>
        <v>16739.0504429693</v>
      </c>
      <c r="Z85" s="1" t="n">
        <f aca="false">P85+Y85-(W85/POWER(1+Assumptions!$B$2,C85))</f>
        <v>36334.8622243828</v>
      </c>
      <c r="AA85" s="0" t="n">
        <f aca="false">P85*Assumptions!$B$7</f>
        <v>2949.025</v>
      </c>
      <c r="AB85" s="0" t="n">
        <f aca="false">P85-AA85</f>
        <v>26541.225</v>
      </c>
      <c r="AC85" s="1" t="n">
        <f aca="false">PMT(Assumptions!$B$5,Assumptions!$B$6,-AB85)</f>
        <v>525.422852798651</v>
      </c>
      <c r="AD85" s="0" t="n">
        <f aca="false">C85*12</f>
        <v>72</v>
      </c>
      <c r="AE85" s="0" t="n">
        <f aca="false">MIN(Assumptions!$B$6,AD85)</f>
        <v>60</v>
      </c>
      <c r="AF85" s="0" t="n">
        <f aca="false">IF(AD85&gt;=Assumptions!$B$6,0,-PV(Assumptions!$B$5,Assumptions!$B$6-AD85,AC85))</f>
        <v>0</v>
      </c>
      <c r="AG85" s="1" t="n">
        <f aca="false">AA85+(-PV(Assumptions!$B$3,AE85,AC85))+Y85-((W85-AF85)/POWER(1+Assumptions!$B$2,C85))</f>
        <v>37839.9740058872</v>
      </c>
      <c r="AH85" s="0" t="n">
        <f aca="false">H85/12</f>
        <v>3</v>
      </c>
      <c r="AI85" s="0" t="n">
        <f aca="false">MAX(0,Assumptions!$B$10-Assumptions!$B$24)*Assumptions!$B$25</f>
        <v>0</v>
      </c>
      <c r="AJ85" s="1" t="n">
        <f aca="false">F85+Assumptions!$B$27+(-PV(Assumptions!$B$3,H85-1,G85))</f>
        <v>17428.1355202679</v>
      </c>
      <c r="AK85" s="0" t="n">
        <f aca="false">CEILING(C85/AH85,1)</f>
        <v>2</v>
      </c>
      <c r="AL85" s="0" t="n">
        <f aca="false">(1+Assumptions!$B$26)/POWER(1+Assumptions!$B$2,AH85)</f>
        <v>0.906135810905202</v>
      </c>
      <c r="AM85" s="0" t="n">
        <f aca="false">IF(ABS(1-AL85)&lt;0.000000000001,AK85,(1-POWER(AL85,AK85))/(1-AL85))</f>
        <v>1.9061358109052</v>
      </c>
      <c r="AN85" s="0" t="n">
        <f aca="false">1/POWER(1+Assumptions!$B$2,AH85)</f>
        <v>0.871284433562695</v>
      </c>
      <c r="AO85" s="0" t="n">
        <f aca="false">IF(ABS(1-AN85)&lt;0.000000000001,AK85,AN85*(1-POWER(AN85,AK85))/(1-AN85))</f>
        <v>1.63042099773136</v>
      </c>
      <c r="AP85" s="1" t="n">
        <f aca="false">AJ85*AM85+Assumptions!$B$28*AO85+(-PV(Assumptions!$B$2,C85,R85+T85+AI85))</f>
        <v>49120.4128956303</v>
      </c>
      <c r="AQ85" s="0" t="n">
        <f aca="false">N85*(1+Assumptions!$B$8)</f>
        <v>16581.4425</v>
      </c>
      <c r="AR85" s="1" t="n">
        <f aca="false">PMT(Assumptions!$B$5,Assumptions!$B$29,-AQ85)</f>
        <v>511.910996686832</v>
      </c>
      <c r="AS85" s="0" t="n">
        <f aca="false">MAX(0,AD85-H85)</f>
        <v>36</v>
      </c>
      <c r="AT85" s="0" t="n">
        <f aca="false">MIN(Assumptions!$B$29,AS85)</f>
        <v>36</v>
      </c>
      <c r="AU85" s="0" t="n">
        <f aca="false">IF(AS85&gt;=Assumptions!$B$29,0,-PV(Assumptions!$B$5,Assumptions!$B$29-AS85,AR85))</f>
        <v>0</v>
      </c>
      <c r="AV85" s="1" t="n">
        <f aca="false">(-PV(Assumptions!$B$3,AT85,AR85))/POWER(1+Assumptions!$B$2,AH85)</f>
        <v>14948.8623997271</v>
      </c>
      <c r="AW85" s="1" t="n">
        <f aca="false">-PV(Assumptions!$B$2,AH85,T85+AI85)</f>
        <v>5318.41766002654</v>
      </c>
      <c r="AX85" s="1" t="n">
        <f aca="false">(-PV(Assumptions!$B$2,C85,S85))-(-PV(Assumptions!$B$2,AH85,S85))</f>
        <v>4175.71854126704</v>
      </c>
      <c r="AY85" s="1" t="n">
        <f aca="false">AJ85+AW85+AX85+(-PV(Assumptions!$B$2,C85,R85))+X85-(W85/POWER(1+Assumptions!$B$2,C85))</f>
        <v>24798.5645266925</v>
      </c>
      <c r="AZ85" s="1" t="n">
        <f aca="false">AY85+AV85+(AU85/POWER(1+Assumptions!$B$2,C85))</f>
        <v>39747.4269264195</v>
      </c>
      <c r="BA85" s="0" t="n">
        <f aca="false">AQ85/POWER(1+Assumptions!$B$2,AH85)</f>
        <v>14447.1527362649</v>
      </c>
      <c r="BB85" s="1" t="n">
        <f aca="false">AY85+BA85</f>
        <v>39245.7172629574</v>
      </c>
      <c r="BC85" s="1" t="n">
        <f aca="false">AJ85+Assumptions!$B$28/POWER(1+Assumptions!$B$2,AH85)+(-PV(Assumptions!$B$2,AH85,R85+T85+AI85))</f>
        <v>25924.9836626249</v>
      </c>
      <c r="BD85" s="1" t="n">
        <f aca="false">MIN(Z85,AG85,AZ85)</f>
        <v>36334.8622243828</v>
      </c>
      <c r="BE85" s="0" t="str">
        <f aca="false">IF(BD85=Z85,"Cash",IF(BD85=AG85,"Loan","Lease then buy out"))</f>
        <v>Cash</v>
      </c>
    </row>
    <row r="86" customFormat="false" ht="15" hidden="false" customHeight="false" outlineLevel="0" collapsed="false">
      <c r="A86" s="0" t="s">
        <v>55</v>
      </c>
      <c r="B86" s="0" t="s">
        <v>56</v>
      </c>
      <c r="C86" s="0" t="n">
        <v>6</v>
      </c>
      <c r="D86" s="0" t="n">
        <v>0</v>
      </c>
      <c r="E86" s="0" t="n">
        <v>34802</v>
      </c>
      <c r="F86" s="0" t="n">
        <v>3002</v>
      </c>
      <c r="G86" s="0" t="n">
        <v>502</v>
      </c>
      <c r="H86" s="0" t="n">
        <v>36</v>
      </c>
      <c r="I86" s="0" t="n">
        <v>24</v>
      </c>
      <c r="J86" s="0" t="n">
        <v>12571</v>
      </c>
      <c r="K86" s="0" t="s">
        <v>35</v>
      </c>
      <c r="L86" s="0" t="n">
        <v>194.5</v>
      </c>
      <c r="M86" s="0" t="n">
        <f aca="false">MAX(Assumptions!$B$33,Assumptions!$B$30-Assumptions!$B$31*(H86-36)-IF(D86=1,Assumptions!$B$32,0))</f>
        <v>0.57</v>
      </c>
      <c r="N86" s="0" t="n">
        <f aca="false">E86*M86</f>
        <v>19837.14</v>
      </c>
      <c r="O86" s="0" t="n">
        <f aca="false">1-POWER(J86/E86,0.1)</f>
        <v>0.0968153200382337</v>
      </c>
      <c r="P86" s="0" t="n">
        <f aca="false">E86*(1+Assumptions!$B$8)+Assumptions!$B$9</f>
        <v>36942.1</v>
      </c>
      <c r="Q86" s="0" t="n">
        <f aca="false">IF(D86=1,Assumptions!$B$14*33.7,Assumptions!$B$13)</f>
        <v>3.1</v>
      </c>
      <c r="R86" s="0" t="n">
        <f aca="false">(Assumptions!$B$10/I86)*Q86</f>
        <v>1291.66666666667</v>
      </c>
      <c r="S86" s="0" t="n">
        <f aca="false">Assumptions!$B$15+Assumptions!$B$17</f>
        <v>1750</v>
      </c>
      <c r="T86" s="0" t="n">
        <f aca="false">Assumptions!$B$15*(1+Assumptions!$B$16)+Assumptions!$B$17</f>
        <v>1942</v>
      </c>
      <c r="U86" s="0" t="n">
        <f aca="false">IF(OR(C86&gt;Assumptions!$B$11,Assumptions!$B$10*C86&gt;Assumptions!$B$12),1,0)</f>
        <v>0</v>
      </c>
      <c r="V86" s="0" t="n">
        <f aca="false">MAX(0.6,1-Assumptions!$B$22*MAX(0,(Assumptions!$B$10-10000)*C86)/10000)</f>
        <v>1</v>
      </c>
      <c r="W86" s="0" t="n">
        <f aca="false">IF(U86=1,Assumptions!$B$23,MAX(Assumptions!$B$23,E86*POWER(1-O86,C86)*V86))</f>
        <v>18891.3753441388</v>
      </c>
      <c r="X86" s="0" t="n">
        <f aca="true">SUMPRODUCT((ROW(INDIRECT("1:"&amp;C86))&gt;Assumptions!$B$20)*Assumptions!$B$18*POWER(Assumptions!$B$19,ROW(INDIRECT("1:"&amp;C86))-Assumptions!$B$20-1)*IF(ROW(INDIRECT("1:"&amp;C86))&gt;Assumptions!$B$11,Assumptions!$B$21,1)/POWER(1+Assumptions!$B$2,ROW(INDIRECT("1:"&amp;C86))))</f>
        <v>2475.151938064</v>
      </c>
      <c r="Y86" s="1" t="n">
        <f aca="false">-PV(Assumptions!$B$2,C86,R86+S86)+X86</f>
        <v>18062.9452143826</v>
      </c>
      <c r="Z86" s="1" t="n">
        <f aca="false">P86+Y86-(W86/POWER(1+Assumptions!$B$2,C86))</f>
        <v>40663.9114432125</v>
      </c>
      <c r="AA86" s="0" t="n">
        <f aca="false">P86*Assumptions!$B$7</f>
        <v>3694.21</v>
      </c>
      <c r="AB86" s="0" t="n">
        <f aca="false">P86-AA86</f>
        <v>33247.89</v>
      </c>
      <c r="AC86" s="1" t="n">
        <f aca="false">PMT(Assumptions!$B$5,Assumptions!$B$6,-AB86)</f>
        <v>658.191218127111</v>
      </c>
      <c r="AD86" s="0" t="n">
        <f aca="false">C86*12</f>
        <v>72</v>
      </c>
      <c r="AE86" s="0" t="n">
        <f aca="false">MIN(Assumptions!$B$6,AD86)</f>
        <v>60</v>
      </c>
      <c r="AF86" s="0" t="n">
        <f aca="false">IF(AD86&gt;=Assumptions!$B$6,0,-PV(Assumptions!$B$5,Assumptions!$B$6-AD86,AC86))</f>
        <v>0</v>
      </c>
      <c r="AG86" s="1" t="n">
        <f aca="false">AA86+(-PV(Assumptions!$B$3,AE86,AC86))+Y86-((W86-AF86)/POWER(1+Assumptions!$B$2,C86))</f>
        <v>42549.3478143357</v>
      </c>
      <c r="AH86" s="0" t="n">
        <f aca="false">H86/12</f>
        <v>3</v>
      </c>
      <c r="AI86" s="0" t="n">
        <f aca="false">MAX(0,Assumptions!$B$10-Assumptions!$B$24)*Assumptions!$B$25</f>
        <v>0</v>
      </c>
      <c r="AJ86" s="1" t="n">
        <f aca="false">F86+Assumptions!$B$27+(-PV(Assumptions!$B$3,H86-1,G86))</f>
        <v>20090.9902724865</v>
      </c>
      <c r="AK86" s="0" t="n">
        <f aca="false">CEILING(C86/AH86,1)</f>
        <v>2</v>
      </c>
      <c r="AL86" s="0" t="n">
        <f aca="false">(1+Assumptions!$B$26)/POWER(1+Assumptions!$B$2,AH86)</f>
        <v>0.906135810905202</v>
      </c>
      <c r="AM86" s="0" t="n">
        <f aca="false">IF(ABS(1-AL86)&lt;0.000000000001,AK86,(1-POWER(AL86,AK86))/(1-AL86))</f>
        <v>1.9061358109052</v>
      </c>
      <c r="AN86" s="0" t="n">
        <f aca="false">1/POWER(1+Assumptions!$B$2,AH86)</f>
        <v>0.871284433562695</v>
      </c>
      <c r="AO86" s="0" t="n">
        <f aca="false">IF(ABS(1-AN86)&lt;0.000000000001,AK86,AN86*(1-POWER(AN86,AK86))/(1-AN86))</f>
        <v>1.63042099773136</v>
      </c>
      <c r="AP86" s="1" t="n">
        <f aca="false">AJ86*AM86+Assumptions!$B$28*AO86+(-PV(Assumptions!$B$2,C86,R86+T86+AI86))</f>
        <v>55520.0704694866</v>
      </c>
      <c r="AQ86" s="0" t="n">
        <f aca="false">N86*(1+Assumptions!$B$8)</f>
        <v>20828.997</v>
      </c>
      <c r="AR86" s="1" t="n">
        <f aca="false">PMT(Assumptions!$B$5,Assumptions!$B$29,-AQ86)</f>
        <v>643.043728810508</v>
      </c>
      <c r="AS86" s="0" t="n">
        <f aca="false">MAX(0,AD86-H86)</f>
        <v>36</v>
      </c>
      <c r="AT86" s="0" t="n">
        <f aca="false">MIN(Assumptions!$B$29,AS86)</f>
        <v>36</v>
      </c>
      <c r="AU86" s="0" t="n">
        <f aca="false">IF(AS86&gt;=Assumptions!$B$29,0,-PV(Assumptions!$B$5,Assumptions!$B$29-AS86,AR86))</f>
        <v>0</v>
      </c>
      <c r="AV86" s="1" t="n">
        <f aca="false">(-PV(Assumptions!$B$3,AT86,AR86))/POWER(1+Assumptions!$B$2,AH86)</f>
        <v>18778.2100427829</v>
      </c>
      <c r="AW86" s="1" t="n">
        <f aca="false">-PV(Assumptions!$B$2,AH86,T86+AI86)</f>
        <v>5318.41766002654</v>
      </c>
      <c r="AX86" s="1" t="n">
        <f aca="false">(-PV(Assumptions!$B$2,C86,S86))-(-PV(Assumptions!$B$2,AH86,S86))</f>
        <v>4175.71854126704</v>
      </c>
      <c r="AY86" s="1" t="n">
        <f aca="false">AJ86+AW86+AX86+(-PV(Assumptions!$B$2,C86,R86))+X86-(W86/POWER(1+Assumptions!$B$2,C86))</f>
        <v>24338.6184977408</v>
      </c>
      <c r="AZ86" s="1" t="n">
        <f aca="false">AY86+AV86+(AU86/POWER(1+Assumptions!$B$2,C86))</f>
        <v>43116.8285405238</v>
      </c>
      <c r="BA86" s="0" t="n">
        <f aca="false">AQ86/POWER(1+Assumptions!$B$2,AH86)</f>
        <v>18147.9808528241</v>
      </c>
      <c r="BB86" s="1" t="n">
        <f aca="false">AY86+BA86</f>
        <v>42486.5993505649</v>
      </c>
      <c r="BC86" s="1" t="n">
        <f aca="false">AJ86+Assumptions!$B$28/POWER(1+Assumptions!$B$2,AH86)+(-PV(Assumptions!$B$2,AH86,R86+T86+AI86))</f>
        <v>29295.3175920698</v>
      </c>
      <c r="BD86" s="1" t="n">
        <f aca="false">MIN(Z86,AG86,AZ86)</f>
        <v>40663.9114432125</v>
      </c>
      <c r="BE86" s="0" t="str">
        <f aca="false">IF(BD86=Z86,"Cash",IF(BD86=AG86,"Loan","Lease then buy out"))</f>
        <v>Cash</v>
      </c>
    </row>
    <row r="87" customFormat="false" ht="15" hidden="false" customHeight="false" outlineLevel="0" collapsed="false">
      <c r="A87" s="0" t="s">
        <v>41</v>
      </c>
      <c r="B87" s="0" t="s">
        <v>57</v>
      </c>
      <c r="C87" s="0" t="n">
        <v>6</v>
      </c>
      <c r="D87" s="0" t="n">
        <v>0</v>
      </c>
      <c r="E87" s="0" t="n">
        <v>27398</v>
      </c>
      <c r="F87" s="0" t="n">
        <v>2809</v>
      </c>
      <c r="G87" s="0" t="n">
        <v>309</v>
      </c>
      <c r="H87" s="0" t="n">
        <v>36</v>
      </c>
      <c r="I87" s="0" t="n">
        <v>28</v>
      </c>
      <c r="J87" s="0" t="n">
        <v>7930</v>
      </c>
      <c r="K87" s="0" t="s">
        <v>35</v>
      </c>
      <c r="L87" s="0" t="n">
        <v>148.3</v>
      </c>
      <c r="M87" s="0" t="n">
        <f aca="false">MAX(Assumptions!$B$33,Assumptions!$B$30-Assumptions!$B$31*(H87-36)-IF(D87=1,Assumptions!$B$32,0))</f>
        <v>0.57</v>
      </c>
      <c r="N87" s="0" t="n">
        <f aca="false">E87*M87</f>
        <v>15616.86</v>
      </c>
      <c r="O87" s="0" t="n">
        <f aca="false">1-POWER(J87/E87,0.1)</f>
        <v>0.116603991561914</v>
      </c>
      <c r="P87" s="0" t="n">
        <f aca="false">E87*(1+Assumptions!$B$8)+Assumptions!$B$9</f>
        <v>29167.9</v>
      </c>
      <c r="Q87" s="0" t="n">
        <f aca="false">IF(D87=1,Assumptions!$B$14*33.7,Assumptions!$B$13)</f>
        <v>3.1</v>
      </c>
      <c r="R87" s="0" t="n">
        <f aca="false">(Assumptions!$B$10/I87)*Q87</f>
        <v>1107.14285714286</v>
      </c>
      <c r="S87" s="0" t="n">
        <f aca="false">Assumptions!$B$15+Assumptions!$B$17</f>
        <v>1750</v>
      </c>
      <c r="T87" s="0" t="n">
        <f aca="false">Assumptions!$B$15*(1+Assumptions!$B$16)+Assumptions!$B$17</f>
        <v>1942</v>
      </c>
      <c r="U87" s="0" t="n">
        <f aca="false">IF(OR(C87&gt;Assumptions!$B$11,Assumptions!$B$10*C87&gt;Assumptions!$B$12),1,0)</f>
        <v>0</v>
      </c>
      <c r="V87" s="0" t="n">
        <f aca="false">MAX(0.6,1-Assumptions!$B$22*MAX(0,(Assumptions!$B$10-10000)*C87)/10000)</f>
        <v>1</v>
      </c>
      <c r="W87" s="0" t="n">
        <f aca="false">IF(U87=1,Assumptions!$B$23,MAX(Assumptions!$B$23,E87*POWER(1-O87,C87)*V87))</f>
        <v>13021.2134140267</v>
      </c>
      <c r="X87" s="0" t="n">
        <f aca="true">SUMPRODUCT((ROW(INDIRECT("1:"&amp;C87))&gt;Assumptions!$B$20)*Assumptions!$B$18*POWER(Assumptions!$B$19,ROW(INDIRECT("1:"&amp;C87))-Assumptions!$B$20-1)*IF(ROW(INDIRECT("1:"&amp;C87))&gt;Assumptions!$B$11,Assumptions!$B$21,1)/POWER(1+Assumptions!$B$2,ROW(INDIRECT("1:"&amp;C87))))</f>
        <v>2475.151938064</v>
      </c>
      <c r="Y87" s="1" t="n">
        <f aca="false">-PV(Assumptions!$B$2,C87,R87+S87)+X87</f>
        <v>17117.3060919445</v>
      </c>
      <c r="Z87" s="1" t="n">
        <f aca="false">P87+Y87-(W87/POWER(1+Assumptions!$B$2,C87))</f>
        <v>36400.3268795134</v>
      </c>
      <c r="AA87" s="0" t="n">
        <f aca="false">P87*Assumptions!$B$7</f>
        <v>2916.79</v>
      </c>
      <c r="AB87" s="0" t="n">
        <f aca="false">P87-AA87</f>
        <v>26251.11</v>
      </c>
      <c r="AC87" s="1" t="n">
        <f aca="false">PMT(Assumptions!$B$5,Assumptions!$B$6,-AB87)</f>
        <v>519.679596753021</v>
      </c>
      <c r="AD87" s="0" t="n">
        <f aca="false">C87*12</f>
        <v>72</v>
      </c>
      <c r="AE87" s="0" t="n">
        <f aca="false">MIN(Assumptions!$B$6,AD87)</f>
        <v>60</v>
      </c>
      <c r="AF87" s="0" t="n">
        <f aca="false">IF(AD87&gt;=Assumptions!$B$6,0,-PV(Assumptions!$B$5,Assumptions!$B$6-AD87,AC87))</f>
        <v>0</v>
      </c>
      <c r="AG87" s="1" t="n">
        <f aca="false">AA87+(-PV(Assumptions!$B$3,AE87,AC87))+Y87-((W87-AF87)/POWER(1+Assumptions!$B$2,C87))</f>
        <v>37888.9866884924</v>
      </c>
      <c r="AH87" s="0" t="n">
        <f aca="false">H87/12</f>
        <v>3</v>
      </c>
      <c r="AI87" s="0" t="n">
        <f aca="false">MAX(0,Assumptions!$B$10-Assumptions!$B$24)*Assumptions!$B$25</f>
        <v>0</v>
      </c>
      <c r="AJ87" s="1" t="n">
        <f aca="false">F87+Assumptions!$B$27+(-PV(Assumptions!$B$3,H87-1,G87))</f>
        <v>13597.0438131441</v>
      </c>
      <c r="AK87" s="0" t="n">
        <f aca="false">CEILING(C87/AH87,1)</f>
        <v>2</v>
      </c>
      <c r="AL87" s="0" t="n">
        <f aca="false">(1+Assumptions!$B$26)/POWER(1+Assumptions!$B$2,AH87)</f>
        <v>0.906135810905202</v>
      </c>
      <c r="AM87" s="0" t="n">
        <f aca="false">IF(ABS(1-AL87)&lt;0.000000000001,AK87,(1-POWER(AL87,AK87))/(1-AL87))</f>
        <v>1.9061358109052</v>
      </c>
      <c r="AN87" s="0" t="n">
        <f aca="false">1/POWER(1+Assumptions!$B$2,AH87)</f>
        <v>0.871284433562695</v>
      </c>
      <c r="AO87" s="0" t="n">
        <f aca="false">IF(ABS(1-AN87)&lt;0.000000000001,AK87,AN87*(1-POWER(AN87,AK87))/(1-AN87))</f>
        <v>1.63042099773136</v>
      </c>
      <c r="AP87" s="1" t="n">
        <f aca="false">AJ87*AM87+Assumptions!$B$28*AO87+(-PV(Assumptions!$B$2,C87,R87+T87+AI87))</f>
        <v>42196.0874467948</v>
      </c>
      <c r="AQ87" s="0" t="n">
        <f aca="false">N87*(1+Assumptions!$B$8)</f>
        <v>16397.703</v>
      </c>
      <c r="AR87" s="1" t="n">
        <f aca="false">PMT(Assumptions!$B$5,Assumptions!$B$29,-AQ87)</f>
        <v>506.238494395445</v>
      </c>
      <c r="AS87" s="0" t="n">
        <f aca="false">MAX(0,AD87-H87)</f>
        <v>36</v>
      </c>
      <c r="AT87" s="0" t="n">
        <f aca="false">MIN(Assumptions!$B$29,AS87)</f>
        <v>36</v>
      </c>
      <c r="AU87" s="0" t="n">
        <f aca="false">IF(AS87&gt;=Assumptions!$B$29,0,-PV(Assumptions!$B$5,Assumptions!$B$29-AS87,AR87))</f>
        <v>0</v>
      </c>
      <c r="AV87" s="1" t="n">
        <f aca="false">(-PV(Assumptions!$B$3,AT87,AR87))/POWER(1+Assumptions!$B$2,AH87)</f>
        <v>14783.2135725581</v>
      </c>
      <c r="AW87" s="1" t="n">
        <f aca="false">-PV(Assumptions!$B$2,AH87,T87+AI87)</f>
        <v>5318.41766002654</v>
      </c>
      <c r="AX87" s="1" t="n">
        <f aca="false">(-PV(Assumptions!$B$2,C87,S87))-(-PV(Assumptions!$B$2,AH87,S87))</f>
        <v>4175.71854126704</v>
      </c>
      <c r="AY87" s="1" t="n">
        <f aca="false">AJ87+AW87+AX87+(-PV(Assumptions!$B$2,C87,R87))+X87-(W87/POWER(1+Assumptions!$B$2,C87))</f>
        <v>21355.2874746992</v>
      </c>
      <c r="AZ87" s="1" t="n">
        <f aca="false">AY87+AV87+(AU87/POWER(1+Assumptions!$B$2,C87))</f>
        <v>36138.5010472573</v>
      </c>
      <c r="BA87" s="0" t="n">
        <f aca="false">AQ87/POWER(1+Assumptions!$B$2,AH87)</f>
        <v>14287.0633700843</v>
      </c>
      <c r="BB87" s="1" t="n">
        <f aca="false">AY87+BA87</f>
        <v>35642.3508447835</v>
      </c>
      <c r="BC87" s="1" t="n">
        <f aca="false">AJ87+Assumptions!$B$28/POWER(1+Assumptions!$B$2,AH87)+(-PV(Assumptions!$B$2,AH87,R87+T87+AI87))</f>
        <v>22296.02886328</v>
      </c>
      <c r="BD87" s="1" t="n">
        <f aca="false">MIN(Z87,AG87,AZ87)</f>
        <v>36138.5010472573</v>
      </c>
      <c r="BE87" s="0" t="str">
        <f aca="false">IF(BD87=Z87,"Cash",IF(BD87=AG87,"Loan","Lease then buy out"))</f>
        <v>Lease then buy out</v>
      </c>
    </row>
    <row r="88" customFormat="false" ht="15" hidden="false" customHeight="false" outlineLevel="0" collapsed="false">
      <c r="A88" s="0" t="s">
        <v>58</v>
      </c>
      <c r="B88" s="0" t="s">
        <v>59</v>
      </c>
      <c r="C88" s="0" t="n">
        <v>6</v>
      </c>
      <c r="D88" s="0" t="n">
        <v>0</v>
      </c>
      <c r="E88" s="0" t="n">
        <v>38969</v>
      </c>
      <c r="F88" s="0" t="n">
        <v>1102</v>
      </c>
      <c r="G88" s="0" t="n">
        <v>735</v>
      </c>
      <c r="H88" s="0" t="n">
        <v>36</v>
      </c>
      <c r="I88" s="0" t="n">
        <v>50</v>
      </c>
      <c r="J88" s="0" t="n">
        <v>14127</v>
      </c>
      <c r="K88" s="0" t="s">
        <v>35</v>
      </c>
      <c r="L88" s="0" t="n">
        <v>115</v>
      </c>
      <c r="M88" s="0" t="n">
        <f aca="false">MAX(Assumptions!$B$33,Assumptions!$B$30-Assumptions!$B$31*(H88-36)-IF(D88=1,Assumptions!$B$32,0))</f>
        <v>0.57</v>
      </c>
      <c r="N88" s="0" t="n">
        <f aca="false">E88*M88</f>
        <v>22212.33</v>
      </c>
      <c r="O88" s="0" t="n">
        <f aca="false">1-POWER(J88/E88,0.1)</f>
        <v>0.0964897821548884</v>
      </c>
      <c r="P88" s="0" t="n">
        <f aca="false">E88*(1+Assumptions!$B$8)+Assumptions!$B$9</f>
        <v>41317.45</v>
      </c>
      <c r="Q88" s="0" t="n">
        <f aca="false">IF(D88=1,Assumptions!$B$14*33.7,Assumptions!$B$13)</f>
        <v>3.1</v>
      </c>
      <c r="R88" s="0" t="n">
        <f aca="false">(Assumptions!$B$10/I88)*Q88</f>
        <v>620</v>
      </c>
      <c r="S88" s="0" t="n">
        <f aca="false">Assumptions!$B$15+Assumptions!$B$17</f>
        <v>1750</v>
      </c>
      <c r="T88" s="0" t="n">
        <f aca="false">Assumptions!$B$15*(1+Assumptions!$B$16)+Assumptions!$B$17</f>
        <v>1942</v>
      </c>
      <c r="U88" s="0" t="n">
        <f aca="false">IF(OR(C88&gt;Assumptions!$B$11,Assumptions!$B$10*C88&gt;Assumptions!$B$12),1,0)</f>
        <v>0</v>
      </c>
      <c r="V88" s="0" t="n">
        <f aca="false">MAX(0.6,1-Assumptions!$B$22*MAX(0,(Assumptions!$B$10-10000)*C88)/10000)</f>
        <v>1</v>
      </c>
      <c r="W88" s="0" t="n">
        <f aca="false">IF(U88=1,Assumptions!$B$23,MAX(Assumptions!$B$23,E88*POWER(1-O88,C88)*V88))</f>
        <v>21199.112111341</v>
      </c>
      <c r="X88" s="0" t="n">
        <f aca="true">SUMPRODUCT((ROW(INDIRECT("1:"&amp;C88))&gt;Assumptions!$B$20)*Assumptions!$B$18*POWER(Assumptions!$B$19,ROW(INDIRECT("1:"&amp;C88))-Assumptions!$B$20-1)*IF(ROW(INDIRECT("1:"&amp;C88))&gt;Assumptions!$B$11,Assumptions!$B$21,1)/POWER(1+Assumptions!$B$2,ROW(INDIRECT("1:"&amp;C88))))</f>
        <v>2475.151938064</v>
      </c>
      <c r="Y88" s="1" t="n">
        <f aca="false">-PV(Assumptions!$B$2,C88,R88+S88)+X88</f>
        <v>14620.8188087079</v>
      </c>
      <c r="Z88" s="1" t="n">
        <f aca="false">P88+Y88-(W88/POWER(1+Assumptions!$B$2,C88))</f>
        <v>39845.2476770782</v>
      </c>
      <c r="AA88" s="0" t="n">
        <f aca="false">P88*Assumptions!$B$7</f>
        <v>4131.745</v>
      </c>
      <c r="AB88" s="0" t="n">
        <f aca="false">P88-AA88</f>
        <v>37185.705</v>
      </c>
      <c r="AC88" s="1" t="n">
        <f aca="false">PMT(Assumptions!$B$5,Assumptions!$B$6,-AB88)</f>
        <v>736.146097417472</v>
      </c>
      <c r="AD88" s="0" t="n">
        <f aca="false">C88*12</f>
        <v>72</v>
      </c>
      <c r="AE88" s="0" t="n">
        <f aca="false">MIN(Assumptions!$B$6,AD88)</f>
        <v>60</v>
      </c>
      <c r="AF88" s="0" t="n">
        <f aca="false">IF(AD88&gt;=Assumptions!$B$6,0,-PV(Assumptions!$B$5,Assumptions!$B$6-AD88,AC88))</f>
        <v>0</v>
      </c>
      <c r="AG88" s="1" t="n">
        <f aca="false">AA88+(-PV(Assumptions!$B$3,AE88,AC88))+Y88-((W88-AF88)/POWER(1+Assumptions!$B$2,C88))</f>
        <v>41953.9914407533</v>
      </c>
      <c r="AH88" s="0" t="n">
        <f aca="false">H88/12</f>
        <v>3</v>
      </c>
      <c r="AI88" s="0" t="n">
        <f aca="false">MAX(0,Assumptions!$B$10-Assumptions!$B$24)*Assumptions!$B$25</f>
        <v>0</v>
      </c>
      <c r="AJ88" s="1" t="n">
        <f aca="false">F88+Assumptions!$B$27+(-PV(Assumptions!$B$3,H88-1,G88))</f>
        <v>25797.8323710709</v>
      </c>
      <c r="AK88" s="0" t="n">
        <f aca="false">CEILING(C88/AH88,1)</f>
        <v>2</v>
      </c>
      <c r="AL88" s="0" t="n">
        <f aca="false">(1+Assumptions!$B$26)/POWER(1+Assumptions!$B$2,AH88)</f>
        <v>0.906135810905202</v>
      </c>
      <c r="AM88" s="0" t="n">
        <f aca="false">IF(ABS(1-AL88)&lt;0.000000000001,AK88,(1-POWER(AL88,AK88))/(1-AL88))</f>
        <v>1.9061358109052</v>
      </c>
      <c r="AN88" s="0" t="n">
        <f aca="false">1/POWER(1+Assumptions!$B$2,AH88)</f>
        <v>0.871284433562695</v>
      </c>
      <c r="AO88" s="0" t="n">
        <f aca="false">IF(ABS(1-AN88)&lt;0.000000000001,AK88,AN88*(1-POWER(AN88,AK88))/(1-AN88))</f>
        <v>1.63042099773136</v>
      </c>
      <c r="AP88" s="1" t="n">
        <f aca="false">AJ88*AM88+Assumptions!$B$28*AO88+(-PV(Assumptions!$B$2,C88,R88+T88+AI88))</f>
        <v>62955.960155105</v>
      </c>
      <c r="AQ88" s="0" t="n">
        <f aca="false">N88*(1+Assumptions!$B$8)</f>
        <v>23322.9465</v>
      </c>
      <c r="AR88" s="1" t="n">
        <f aca="false">PMT(Assumptions!$B$5,Assumptions!$B$29,-AQ88)</f>
        <v>720.038246882842</v>
      </c>
      <c r="AS88" s="0" t="n">
        <f aca="false">MAX(0,AD88-H88)</f>
        <v>36</v>
      </c>
      <c r="AT88" s="0" t="n">
        <f aca="false">MIN(Assumptions!$B$29,AS88)</f>
        <v>36</v>
      </c>
      <c r="AU88" s="0" t="n">
        <f aca="false">IF(AS88&gt;=Assumptions!$B$29,0,-PV(Assumptions!$B$5,Assumptions!$B$29-AS88,AR88))</f>
        <v>0</v>
      </c>
      <c r="AV88" s="1" t="n">
        <f aca="false">(-PV(Assumptions!$B$3,AT88,AR88))/POWER(1+Assumptions!$B$2,AH88)</f>
        <v>21026.60959592</v>
      </c>
      <c r="AW88" s="1" t="n">
        <f aca="false">-PV(Assumptions!$B$2,AH88,T88+AI88)</f>
        <v>5318.41766002654</v>
      </c>
      <c r="AX88" s="1" t="n">
        <f aca="false">(-PV(Assumptions!$B$2,C88,S88))-(-PV(Assumptions!$B$2,AH88,S88))</f>
        <v>4175.71854126704</v>
      </c>
      <c r="AY88" s="1" t="n">
        <f aca="false">AJ88+AW88+AX88+(-PV(Assumptions!$B$2,C88,R88))+X88-(W88/POWER(1+Assumptions!$B$2,C88))</f>
        <v>24851.4468301909</v>
      </c>
      <c r="AZ88" s="1" t="n">
        <f aca="false">AY88+AV88+(AU88/POWER(1+Assumptions!$B$2,C88))</f>
        <v>45878.0564261109</v>
      </c>
      <c r="BA88" s="0" t="n">
        <f aca="false">AQ88/POWER(1+Assumptions!$B$2,AH88)</f>
        <v>20320.9202302655</v>
      </c>
      <c r="BB88" s="1" t="n">
        <f aca="false">AY88+BA88</f>
        <v>45172.3670604564</v>
      </c>
      <c r="BC88" s="1" t="n">
        <f aca="false">AJ88+Assumptions!$B$28/POWER(1+Assumptions!$B$2,AH88)+(-PV(Assumptions!$B$2,AH88,R88+T88+AI88))</f>
        <v>33162.7138298657</v>
      </c>
      <c r="BD88" s="1" t="n">
        <f aca="false">MIN(Z88,AG88,AZ88)</f>
        <v>39845.2476770782</v>
      </c>
      <c r="BE88" s="0" t="str">
        <f aca="false">IF(BD88=Z88,"Cash",IF(BD88=AG88,"Loan","Lease then buy out"))</f>
        <v>Cash</v>
      </c>
    </row>
    <row r="89" customFormat="false" ht="15" hidden="false" customHeight="false" outlineLevel="0" collapsed="false">
      <c r="A89" s="0" t="s">
        <v>58</v>
      </c>
      <c r="B89" s="0" t="s">
        <v>61</v>
      </c>
      <c r="C89" s="0" t="n">
        <v>6</v>
      </c>
      <c r="D89" s="0" t="n">
        <v>0</v>
      </c>
      <c r="E89" s="0" t="n">
        <v>31190</v>
      </c>
      <c r="F89" s="0" t="n">
        <v>1168</v>
      </c>
      <c r="G89" s="0" t="n">
        <v>418</v>
      </c>
      <c r="H89" s="0" t="n">
        <v>36</v>
      </c>
      <c r="I89" s="0" t="n">
        <v>30</v>
      </c>
      <c r="J89" s="0" t="n">
        <v>11145</v>
      </c>
      <c r="K89" s="0" t="s">
        <v>35</v>
      </c>
      <c r="L89" s="0" t="n">
        <v>149.3</v>
      </c>
      <c r="M89" s="0" t="n">
        <f aca="false">MAX(Assumptions!$B$33,Assumptions!$B$30-Assumptions!$B$31*(H89-36)-IF(D89=1,Assumptions!$B$32,0))</f>
        <v>0.57</v>
      </c>
      <c r="N89" s="0" t="n">
        <f aca="false">E89*M89</f>
        <v>17778.3</v>
      </c>
      <c r="O89" s="0" t="n">
        <f aca="false">1-POWER(J89/E89,0.1)</f>
        <v>0.0977924236267148</v>
      </c>
      <c r="P89" s="0" t="n">
        <f aca="false">E89*(1+Assumptions!$B$8)+Assumptions!$B$9</f>
        <v>33149.5</v>
      </c>
      <c r="Q89" s="0" t="n">
        <f aca="false">IF(D89=1,Assumptions!$B$14*33.7,Assumptions!$B$13)</f>
        <v>3.1</v>
      </c>
      <c r="R89" s="0" t="n">
        <f aca="false">(Assumptions!$B$10/I89)*Q89</f>
        <v>1033.33333333333</v>
      </c>
      <c r="S89" s="0" t="n">
        <f aca="false">Assumptions!$B$15+Assumptions!$B$17</f>
        <v>1750</v>
      </c>
      <c r="T89" s="0" t="n">
        <f aca="false">Assumptions!$B$15*(1+Assumptions!$B$16)+Assumptions!$B$17</f>
        <v>1942</v>
      </c>
      <c r="U89" s="0" t="n">
        <f aca="false">IF(OR(C89&gt;Assumptions!$B$11,Assumptions!$B$10*C89&gt;Assumptions!$B$12),1,0)</f>
        <v>0</v>
      </c>
      <c r="V89" s="0" t="n">
        <f aca="false">MAX(0.6,1-Assumptions!$B$22*MAX(0,(Assumptions!$B$10-10000)*C89)/10000)</f>
        <v>1</v>
      </c>
      <c r="W89" s="0" t="n">
        <f aca="false">IF(U89=1,Assumptions!$B$23,MAX(Assumptions!$B$23,E89*POWER(1-O89,C89)*V89))</f>
        <v>16821.0922893583</v>
      </c>
      <c r="X89" s="0" t="n">
        <f aca="true">SUMPRODUCT((ROW(INDIRECT("1:"&amp;C89))&gt;Assumptions!$B$20)*Assumptions!$B$18*POWER(Assumptions!$B$19,ROW(INDIRECT("1:"&amp;C89))-Assumptions!$B$20-1)*IF(ROW(INDIRECT("1:"&amp;C89))&gt;Assumptions!$B$11,Assumptions!$B$21,1)/POWER(1+Assumptions!$B$2,ROW(INDIRECT("1:"&amp;C89))))</f>
        <v>2475.151938064</v>
      </c>
      <c r="Y89" s="1" t="n">
        <f aca="false">-PV(Assumptions!$B$2,C89,R89+S89)+X89</f>
        <v>16739.0504429693</v>
      </c>
      <c r="Z89" s="1" t="n">
        <f aca="false">P89+Y89-(W89/POWER(1+Assumptions!$B$2,C89))</f>
        <v>37119.0442368618</v>
      </c>
      <c r="AA89" s="0" t="n">
        <f aca="false">P89*Assumptions!$B$7</f>
        <v>3314.95</v>
      </c>
      <c r="AB89" s="0" t="n">
        <f aca="false">P89-AA89</f>
        <v>29834.55</v>
      </c>
      <c r="AC89" s="1" t="n">
        <f aca="false">PMT(Assumptions!$B$5,Assumptions!$B$6,-AB89)</f>
        <v>590.619098137482</v>
      </c>
      <c r="AD89" s="0" t="n">
        <f aca="false">C89*12</f>
        <v>72</v>
      </c>
      <c r="AE89" s="0" t="n">
        <f aca="false">MIN(Assumptions!$B$6,AD89)</f>
        <v>60</v>
      </c>
      <c r="AF89" s="0" t="n">
        <f aca="false">IF(AD89&gt;=Assumptions!$B$6,0,-PV(Assumptions!$B$5,Assumptions!$B$6-AD89,AC89))</f>
        <v>0</v>
      </c>
      <c r="AG89" s="1" t="n">
        <f aca="false">AA89+(-PV(Assumptions!$B$3,AE89,AC89))+Y89-((W89-AF89)/POWER(1+Assumptions!$B$2,C89))</f>
        <v>38810.9153807477</v>
      </c>
      <c r="AH89" s="0" t="n">
        <f aca="false">H89/12</f>
        <v>3</v>
      </c>
      <c r="AI89" s="0" t="n">
        <f aca="false">MAX(0,Assumptions!$B$10-Assumptions!$B$24)*Assumptions!$B$25</f>
        <v>0</v>
      </c>
      <c r="AJ89" s="1" t="n">
        <f aca="false">F89+Assumptions!$B$27+(-PV(Assumptions!$B$3,H89-1,G89))</f>
        <v>15514.6094300784</v>
      </c>
      <c r="AK89" s="0" t="n">
        <f aca="false">CEILING(C89/AH89,1)</f>
        <v>2</v>
      </c>
      <c r="AL89" s="0" t="n">
        <f aca="false">(1+Assumptions!$B$26)/POWER(1+Assumptions!$B$2,AH89)</f>
        <v>0.906135810905202</v>
      </c>
      <c r="AM89" s="0" t="n">
        <f aca="false">IF(ABS(1-AL89)&lt;0.000000000001,AK89,(1-POWER(AL89,AK89))/(1-AL89))</f>
        <v>1.9061358109052</v>
      </c>
      <c r="AN89" s="0" t="n">
        <f aca="false">1/POWER(1+Assumptions!$B$2,AH89)</f>
        <v>0.871284433562695</v>
      </c>
      <c r="AO89" s="0" t="n">
        <f aca="false">IF(ABS(1-AN89)&lt;0.000000000001,AK89,AN89*(1-POWER(AN89,AK89))/(1-AN89))</f>
        <v>1.63042099773136</v>
      </c>
      <c r="AP89" s="1" t="n">
        <f aca="false">AJ89*AM89+Assumptions!$B$28*AO89+(-PV(Assumptions!$B$2,C89,R89+T89+AI89))</f>
        <v>45472.9722900186</v>
      </c>
      <c r="AQ89" s="0" t="n">
        <f aca="false">N89*(1+Assumptions!$B$8)</f>
        <v>18667.215</v>
      </c>
      <c r="AR89" s="1" t="n">
        <f aca="false">PMT(Assumptions!$B$5,Assumptions!$B$29,-AQ89)</f>
        <v>576.304060157455</v>
      </c>
      <c r="AS89" s="0" t="n">
        <f aca="false">MAX(0,AD89-H89)</f>
        <v>36</v>
      </c>
      <c r="AT89" s="0" t="n">
        <f aca="false">MIN(Assumptions!$B$29,AS89)</f>
        <v>36</v>
      </c>
      <c r="AU89" s="0" t="n">
        <f aca="false">IF(AS89&gt;=Assumptions!$B$29,0,-PV(Assumptions!$B$5,Assumptions!$B$29-AS89,AR89))</f>
        <v>0</v>
      </c>
      <c r="AV89" s="1" t="n">
        <f aca="false">(-PV(Assumptions!$B$3,AT89,AR89))/POWER(1+Assumptions!$B$2,AH89)</f>
        <v>16829.2733530946</v>
      </c>
      <c r="AW89" s="1" t="n">
        <f aca="false">-PV(Assumptions!$B$2,AH89,T89+AI89)</f>
        <v>5318.41766002654</v>
      </c>
      <c r="AX89" s="1" t="n">
        <f aca="false">(-PV(Assumptions!$B$2,C89,S89))-(-PV(Assumptions!$B$2,AH89,S89))</f>
        <v>4175.71854126704</v>
      </c>
      <c r="AY89" s="1" t="n">
        <f aca="false">AJ89+AW89+AX89+(-PV(Assumptions!$B$2,C89,R89))+X89-(W89/POWER(1+Assumptions!$B$2,C89))</f>
        <v>20009.970448982</v>
      </c>
      <c r="AZ89" s="1" t="n">
        <f aca="false">AY89+AV89+(AU89/POWER(1+Assumptions!$B$2,C89))</f>
        <v>36839.2438020766</v>
      </c>
      <c r="BA89" s="0" t="n">
        <f aca="false">AQ89/POWER(1+Assumptions!$B$2,AH89)</f>
        <v>16264.453847468</v>
      </c>
      <c r="BB89" s="1" t="n">
        <f aca="false">AY89+BA89</f>
        <v>36274.42429645</v>
      </c>
      <c r="BC89" s="1" t="n">
        <f aca="false">AJ89+Assumptions!$B$28/POWER(1+Assumptions!$B$2,AH89)+(-PV(Assumptions!$B$2,AH89,R89+T89+AI89))</f>
        <v>24011.4575724353</v>
      </c>
      <c r="BD89" s="1" t="n">
        <f aca="false">MIN(Z89,AG89,AZ89)</f>
        <v>36839.2438020766</v>
      </c>
      <c r="BE89" s="0" t="str">
        <f aca="false">IF(BD89=Z89,"Cash",IF(BD89=AG89,"Loan","Lease then buy out"))</f>
        <v>Lease then buy out</v>
      </c>
    </row>
    <row r="90" customFormat="false" ht="15" hidden="false" customHeight="false" outlineLevel="0" collapsed="false">
      <c r="A90" s="0" t="s">
        <v>46</v>
      </c>
      <c r="B90" s="0" t="s">
        <v>62</v>
      </c>
      <c r="C90" s="0" t="n">
        <v>6</v>
      </c>
      <c r="D90" s="0" t="n">
        <v>0</v>
      </c>
      <c r="E90" s="0" t="n">
        <v>29919</v>
      </c>
      <c r="F90" s="0" t="n">
        <v>2853</v>
      </c>
      <c r="G90" s="0" t="n">
        <v>353</v>
      </c>
      <c r="H90" s="0" t="n">
        <v>36</v>
      </c>
      <c r="I90" s="0" t="n">
        <v>25</v>
      </c>
      <c r="J90" s="0" t="n">
        <v>8341</v>
      </c>
      <c r="K90" s="0" t="s">
        <v>35</v>
      </c>
      <c r="L90" s="0" t="n">
        <v>163.7</v>
      </c>
      <c r="M90" s="0" t="n">
        <f aca="false">MAX(Assumptions!$B$33,Assumptions!$B$30-Assumptions!$B$31*(H90-36)-IF(D90=1,Assumptions!$B$32,0))</f>
        <v>0.57</v>
      </c>
      <c r="N90" s="0" t="n">
        <f aca="false">E90*M90</f>
        <v>17053.83</v>
      </c>
      <c r="O90" s="0" t="n">
        <f aca="false">1-POWER(J90/E90,0.1)</f>
        <v>0.119909962746428</v>
      </c>
      <c r="P90" s="0" t="n">
        <f aca="false">E90*(1+Assumptions!$B$8)+Assumptions!$B$9</f>
        <v>31814.95</v>
      </c>
      <c r="Q90" s="0" t="n">
        <f aca="false">IF(D90=1,Assumptions!$B$14*33.7,Assumptions!$B$13)</f>
        <v>3.1</v>
      </c>
      <c r="R90" s="0" t="n">
        <f aca="false">(Assumptions!$B$10/I90)*Q90</f>
        <v>1240</v>
      </c>
      <c r="S90" s="0" t="n">
        <f aca="false">Assumptions!$B$15+Assumptions!$B$17</f>
        <v>1750</v>
      </c>
      <c r="T90" s="0" t="n">
        <f aca="false">Assumptions!$B$15*(1+Assumptions!$B$16)+Assumptions!$B$17</f>
        <v>1942</v>
      </c>
      <c r="U90" s="0" t="n">
        <f aca="false">IF(OR(C90&gt;Assumptions!$B$11,Assumptions!$B$10*C90&gt;Assumptions!$B$12),1,0)</f>
        <v>0</v>
      </c>
      <c r="V90" s="0" t="n">
        <f aca="false">MAX(0.6,1-Assumptions!$B$22*MAX(0,(Assumptions!$B$10-10000)*C90)/10000)</f>
        <v>1</v>
      </c>
      <c r="W90" s="0" t="n">
        <f aca="false">IF(U90=1,Assumptions!$B$23,MAX(Assumptions!$B$23,E90*POWER(1-O90,C90)*V90))</f>
        <v>13903.0377578662</v>
      </c>
      <c r="X90" s="0" t="n">
        <f aca="true">SUMPRODUCT((ROW(INDIRECT("1:"&amp;C90))&gt;Assumptions!$B$20)*Assumptions!$B$18*POWER(Assumptions!$B$19,ROW(INDIRECT("1:"&amp;C90))-Assumptions!$B$20-1)*IF(ROW(INDIRECT("1:"&amp;C90))&gt;Assumptions!$B$11,Assumptions!$B$21,1)/POWER(1+Assumptions!$B$2,ROW(INDIRECT("1:"&amp;C90))))</f>
        <v>2475.151938064</v>
      </c>
      <c r="Y90" s="1" t="n">
        <f aca="false">-PV(Assumptions!$B$2,C90,R90+S90)+X90</f>
        <v>17798.1662601</v>
      </c>
      <c r="Z90" s="1" t="n">
        <f aca="false">P90+Y90-(W90/POWER(1+Assumptions!$B$2,C90))</f>
        <v>39058.8119450862</v>
      </c>
      <c r="AA90" s="0" t="n">
        <f aca="false">P90*Assumptions!$B$7</f>
        <v>3181.495</v>
      </c>
      <c r="AB90" s="0" t="n">
        <f aca="false">P90-AA90</f>
        <v>28633.455</v>
      </c>
      <c r="AC90" s="1" t="n">
        <f aca="false">PMT(Assumptions!$B$5,Assumptions!$B$6,-AB90)</f>
        <v>566.841643955085</v>
      </c>
      <c r="AD90" s="0" t="n">
        <f aca="false">C90*12</f>
        <v>72</v>
      </c>
      <c r="AE90" s="0" t="n">
        <f aca="false">MIN(Assumptions!$B$6,AD90)</f>
        <v>60</v>
      </c>
      <c r="AF90" s="0" t="n">
        <f aca="false">IF(AD90&gt;=Assumptions!$B$6,0,-PV(Assumptions!$B$5,Assumptions!$B$6-AD90,AC90))</f>
        <v>0</v>
      </c>
      <c r="AG90" s="1" t="n">
        <f aca="false">AA90+(-PV(Assumptions!$B$3,AE90,AC90))+Y90-((W90-AF90)/POWER(1+Assumptions!$B$2,C90))</f>
        <v>40682.5708509272</v>
      </c>
      <c r="AH90" s="0" t="n">
        <f aca="false">H90/12</f>
        <v>3</v>
      </c>
      <c r="AI90" s="0" t="n">
        <f aca="false">MAX(0,Assumptions!$B$10-Assumptions!$B$24)*Assumptions!$B$25</f>
        <v>0</v>
      </c>
      <c r="AJ90" s="1" t="n">
        <f aca="false">F90+Assumptions!$B$27+(-PV(Assumptions!$B$3,H90-1,G90))</f>
        <v>15077.5290163103</v>
      </c>
      <c r="AK90" s="0" t="n">
        <f aca="false">CEILING(C90/AH90,1)</f>
        <v>2</v>
      </c>
      <c r="AL90" s="0" t="n">
        <f aca="false">(1+Assumptions!$B$26)/POWER(1+Assumptions!$B$2,AH90)</f>
        <v>0.906135810905202</v>
      </c>
      <c r="AM90" s="0" t="n">
        <f aca="false">IF(ABS(1-AL90)&lt;0.000000000001,AK90,(1-POWER(AL90,AK90))/(1-AL90))</f>
        <v>1.9061358109052</v>
      </c>
      <c r="AN90" s="0" t="n">
        <f aca="false">1/POWER(1+Assumptions!$B$2,AH90)</f>
        <v>0.871284433562695</v>
      </c>
      <c r="AO90" s="0" t="n">
        <f aca="false">IF(ABS(1-AN90)&lt;0.000000000001,AK90,AN90*(1-POWER(AN90,AK90))/(1-AN90))</f>
        <v>1.63042099773136</v>
      </c>
      <c r="AP90" s="1" t="n">
        <f aca="false">AJ90*AM90+Assumptions!$B$28*AO90+(-PV(Assumptions!$B$2,C90,R90+T90+AI90))</f>
        <v>45698.9534782205</v>
      </c>
      <c r="AQ90" s="0" t="n">
        <f aca="false">N90*(1+Assumptions!$B$8)</f>
        <v>17906.5215</v>
      </c>
      <c r="AR90" s="1" t="n">
        <f aca="false">PMT(Assumptions!$B$5,Assumptions!$B$29,-AQ90)</f>
        <v>552.819531126992</v>
      </c>
      <c r="AS90" s="0" t="n">
        <f aca="false">MAX(0,AD90-H90)</f>
        <v>36</v>
      </c>
      <c r="AT90" s="0" t="n">
        <f aca="false">MIN(Assumptions!$B$29,AS90)</f>
        <v>36</v>
      </c>
      <c r="AU90" s="0" t="n">
        <f aca="false">IF(AS90&gt;=Assumptions!$B$29,0,-PV(Assumptions!$B$5,Assumptions!$B$29-AS90,AR90))</f>
        <v>0</v>
      </c>
      <c r="AV90" s="1" t="n">
        <f aca="false">(-PV(Assumptions!$B$3,AT90,AR90))/POWER(1+Assumptions!$B$2,AH90)</f>
        <v>16143.4764171606</v>
      </c>
      <c r="AW90" s="1" t="n">
        <f aca="false">-PV(Assumptions!$B$2,AH90,T90+AI90)</f>
        <v>5318.41766002654</v>
      </c>
      <c r="AX90" s="1" t="n">
        <f aca="false">(-PV(Assumptions!$B$2,C90,S90))-(-PV(Assumptions!$B$2,AH90,S90))</f>
        <v>4175.71854126704</v>
      </c>
      <c r="AY90" s="1" t="n">
        <f aca="false">AJ90+AW90+AX90+(-PV(Assumptions!$B$2,C90,R90))+X90-(W90/POWER(1+Assumptions!$B$2,C90))</f>
        <v>22847.2077434382</v>
      </c>
      <c r="AZ90" s="1" t="n">
        <f aca="false">AY90+AV90+(AU90/POWER(1+Assumptions!$B$2,C90))</f>
        <v>38990.6841605988</v>
      </c>
      <c r="BA90" s="0" t="n">
        <f aca="false">AQ90/POWER(1+Assumptions!$B$2,AH90)</f>
        <v>15601.6734422057</v>
      </c>
      <c r="BB90" s="1" t="n">
        <f aca="false">AY90+BA90</f>
        <v>38448.8811856439</v>
      </c>
      <c r="BC90" s="1" t="n">
        <f aca="false">AJ90+Assumptions!$B$28/POWER(1+Assumptions!$B$2,AH90)+(-PV(Assumptions!$B$2,AH90,R90+T90+AI90))</f>
        <v>24140.3605004482</v>
      </c>
      <c r="BD90" s="1" t="n">
        <f aca="false">MIN(Z90,AG90,AZ90)</f>
        <v>38990.6841605988</v>
      </c>
      <c r="BE90" s="0" t="str">
        <f aca="false">IF(BD90=Z90,"Cash",IF(BD90=AG90,"Loan","Lease then buy out"))</f>
        <v>Lease then buy out</v>
      </c>
    </row>
    <row r="91" customFormat="false" ht="15" hidden="false" customHeight="false" outlineLevel="0" collapsed="false">
      <c r="A91" s="0" t="s">
        <v>63</v>
      </c>
      <c r="B91" s="0" t="s">
        <v>64</v>
      </c>
      <c r="C91" s="0" t="n">
        <v>6</v>
      </c>
      <c r="D91" s="0" t="n">
        <v>0</v>
      </c>
      <c r="E91" s="0" t="n">
        <v>31835</v>
      </c>
      <c r="F91" s="0" t="n">
        <v>3436</v>
      </c>
      <c r="G91" s="0" t="n">
        <v>436</v>
      </c>
      <c r="H91" s="0" t="n">
        <v>36</v>
      </c>
      <c r="I91" s="0" t="n">
        <v>25</v>
      </c>
      <c r="J91" s="0" t="n">
        <v>13252</v>
      </c>
      <c r="K91" s="0" t="s">
        <v>35</v>
      </c>
      <c r="L91" s="0" t="n">
        <v>162.4</v>
      </c>
      <c r="M91" s="0" t="n">
        <f aca="false">MAX(Assumptions!$B$33,Assumptions!$B$30-Assumptions!$B$31*(H91-36)-IF(D91=1,Assumptions!$B$32,0))</f>
        <v>0.57</v>
      </c>
      <c r="N91" s="0" t="n">
        <f aca="false">E91*M91</f>
        <v>18145.95</v>
      </c>
      <c r="O91" s="0" t="n">
        <f aca="false">1-POWER(J91/E91,0.1)</f>
        <v>0.0839110233119911</v>
      </c>
      <c r="P91" s="0" t="n">
        <f aca="false">E91*(1+Assumptions!$B$8)+Assumptions!$B$9</f>
        <v>33826.75</v>
      </c>
      <c r="Q91" s="0" t="n">
        <f aca="false">IF(D91=1,Assumptions!$B$14*33.7,Assumptions!$B$13)</f>
        <v>3.1</v>
      </c>
      <c r="R91" s="0" t="n">
        <f aca="false">(Assumptions!$B$10/I91)*Q91</f>
        <v>1240</v>
      </c>
      <c r="S91" s="0" t="n">
        <f aca="false">Assumptions!$B$15+Assumptions!$B$17</f>
        <v>1750</v>
      </c>
      <c r="T91" s="0" t="n">
        <f aca="false">Assumptions!$B$15*(1+Assumptions!$B$16)+Assumptions!$B$17</f>
        <v>1942</v>
      </c>
      <c r="U91" s="0" t="n">
        <f aca="false">IF(OR(C91&gt;Assumptions!$B$11,Assumptions!$B$10*C91&gt;Assumptions!$B$12),1,0)</f>
        <v>0</v>
      </c>
      <c r="V91" s="0" t="n">
        <f aca="false">MAX(0.6,1-Assumptions!$B$22*MAX(0,(Assumptions!$B$10-10000)*C91)/10000)</f>
        <v>1</v>
      </c>
      <c r="W91" s="0" t="n">
        <f aca="false">IF(U91=1,Assumptions!$B$23,MAX(Assumptions!$B$23,E91*POWER(1-O91,C91)*V91))</f>
        <v>18816.1513627968</v>
      </c>
      <c r="X91" s="0" t="n">
        <f aca="true">SUMPRODUCT((ROW(INDIRECT("1:"&amp;C91))&gt;Assumptions!$B$20)*Assumptions!$B$18*POWER(Assumptions!$B$19,ROW(INDIRECT("1:"&amp;C91))-Assumptions!$B$20-1)*IF(ROW(INDIRECT("1:"&amp;C91))&gt;Assumptions!$B$11,Assumptions!$B$21,1)/POWER(1+Assumptions!$B$2,ROW(INDIRECT("1:"&amp;C91))))</f>
        <v>2475.151938064</v>
      </c>
      <c r="Y91" s="1" t="n">
        <f aca="false">-PV(Assumptions!$B$2,C91,R91+S91)+X91</f>
        <v>17798.1662601</v>
      </c>
      <c r="Z91" s="1" t="n">
        <f aca="false">P91+Y91-(W91/POWER(1+Assumptions!$B$2,C91))</f>
        <v>37340.8877636689</v>
      </c>
      <c r="AA91" s="0" t="n">
        <f aca="false">P91*Assumptions!$B$7</f>
        <v>3382.675</v>
      </c>
      <c r="AB91" s="0" t="n">
        <f aca="false">P91-AA91</f>
        <v>30444.075</v>
      </c>
      <c r="AC91" s="1" t="n">
        <f aca="false">PMT(Assumptions!$B$5,Assumptions!$B$6,-AB91)</f>
        <v>602.68554813563</v>
      </c>
      <c r="AD91" s="0" t="n">
        <f aca="false">C91*12</f>
        <v>72</v>
      </c>
      <c r="AE91" s="0" t="n">
        <f aca="false">MIN(Assumptions!$B$6,AD91)</f>
        <v>60</v>
      </c>
      <c r="AF91" s="0" t="n">
        <f aca="false">IF(AD91&gt;=Assumptions!$B$6,0,-PV(Assumptions!$B$5,Assumptions!$B$6-AD91,AC91))</f>
        <v>0</v>
      </c>
      <c r="AG91" s="1" t="n">
        <f aca="false">AA91+(-PV(Assumptions!$B$3,AE91,AC91))+Y91-((W91-AF91)/POWER(1+Assumptions!$B$2,C91))</f>
        <v>39067.3241267043</v>
      </c>
      <c r="AH91" s="0" t="n">
        <f aca="false">H91/12</f>
        <v>3</v>
      </c>
      <c r="AI91" s="0" t="n">
        <f aca="false">MAX(0,Assumptions!$B$10-Assumptions!$B$24)*Assumptions!$B$25</f>
        <v>0</v>
      </c>
      <c r="AJ91" s="1" t="n">
        <f aca="false">F91+Assumptions!$B$27+(-PV(Assumptions!$B$3,H91-1,G91))</f>
        <v>18370.2624677373</v>
      </c>
      <c r="AK91" s="0" t="n">
        <f aca="false">CEILING(C91/AH91,1)</f>
        <v>2</v>
      </c>
      <c r="AL91" s="0" t="n">
        <f aca="false">(1+Assumptions!$B$26)/POWER(1+Assumptions!$B$2,AH91)</f>
        <v>0.906135810905202</v>
      </c>
      <c r="AM91" s="0" t="n">
        <f aca="false">IF(ABS(1-AL91)&lt;0.000000000001,AK91,(1-POWER(AL91,AK91))/(1-AL91))</f>
        <v>1.9061358109052</v>
      </c>
      <c r="AN91" s="0" t="n">
        <f aca="false">1/POWER(1+Assumptions!$B$2,AH91)</f>
        <v>0.871284433562695</v>
      </c>
      <c r="AO91" s="0" t="n">
        <f aca="false">IF(ABS(1-AN91)&lt;0.000000000001,AK91,AN91*(1-POWER(AN91,AK91))/(1-AN91))</f>
        <v>1.63042099773136</v>
      </c>
      <c r="AP91" s="1" t="n">
        <f aca="false">AJ91*AM91+Assumptions!$B$28*AO91+(-PV(Assumptions!$B$2,C91,R91+T91+AI91))</f>
        <v>51975.3506257512</v>
      </c>
      <c r="AQ91" s="0" t="n">
        <f aca="false">N91*(1+Assumptions!$B$8)</f>
        <v>19053.2475</v>
      </c>
      <c r="AR91" s="1" t="n">
        <f aca="false">PMT(Assumptions!$B$5,Assumptions!$B$29,-AQ91)</f>
        <v>588.221858131214</v>
      </c>
      <c r="AS91" s="0" t="n">
        <f aca="false">MAX(0,AD91-H91)</f>
        <v>36</v>
      </c>
      <c r="AT91" s="0" t="n">
        <f aca="false">MIN(Assumptions!$B$29,AS91)</f>
        <v>36</v>
      </c>
      <c r="AU91" s="0" t="n">
        <f aca="false">IF(AS91&gt;=Assumptions!$B$29,0,-PV(Assumptions!$B$5,Assumptions!$B$29-AS91,AR91))</f>
        <v>0</v>
      </c>
      <c r="AV91" s="1" t="n">
        <f aca="false">(-PV(Assumptions!$B$3,AT91,AR91))/POWER(1+Assumptions!$B$2,AH91)</f>
        <v>17177.2977619676</v>
      </c>
      <c r="AW91" s="1" t="n">
        <f aca="false">-PV(Assumptions!$B$2,AH91,T91+AI91)</f>
        <v>5318.41766002654</v>
      </c>
      <c r="AX91" s="1" t="n">
        <f aca="false">(-PV(Assumptions!$B$2,C91,S91))-(-PV(Assumptions!$B$2,AH91,S91))</f>
        <v>4175.71854126704</v>
      </c>
      <c r="AY91" s="1" t="n">
        <f aca="false">AJ91+AW91+AX91+(-PV(Assumptions!$B$2,C91,R91))+X91-(W91/POWER(1+Assumptions!$B$2,C91))</f>
        <v>22410.217013448</v>
      </c>
      <c r="AZ91" s="1" t="n">
        <f aca="false">AY91+AV91+(AU91/POWER(1+Assumptions!$B$2,C91))</f>
        <v>39587.5147754155</v>
      </c>
      <c r="BA91" s="0" t="n">
        <f aca="false">AQ91/POWER(1+Assumptions!$B$2,AH91)</f>
        <v>16600.7979555673</v>
      </c>
      <c r="BB91" s="1" t="n">
        <f aca="false">AY91+BA91</f>
        <v>39011.0149690153</v>
      </c>
      <c r="BC91" s="1" t="n">
        <f aca="false">AJ91+Assumptions!$B$28/POWER(1+Assumptions!$B$2,AH91)+(-PV(Assumptions!$B$2,AH91,R91+T91+AI91))</f>
        <v>27433.0939518753</v>
      </c>
      <c r="BD91" s="1" t="n">
        <f aca="false">MIN(Z91,AG91,AZ91)</f>
        <v>37340.8877636689</v>
      </c>
      <c r="BE91" s="0" t="str">
        <f aca="false">IF(BD91=Z91,"Cash",IF(BD91=AG91,"Loan","Lease then buy out"))</f>
        <v>Cash</v>
      </c>
    </row>
    <row r="92" customFormat="false" ht="15" hidden="false" customHeight="false" outlineLevel="0" collapsed="false">
      <c r="A92" s="0" t="s">
        <v>58</v>
      </c>
      <c r="B92" s="0" t="s">
        <v>65</v>
      </c>
      <c r="C92" s="0" t="n">
        <v>6</v>
      </c>
      <c r="D92" s="0" t="n">
        <v>0</v>
      </c>
      <c r="E92" s="0" t="n">
        <v>43095</v>
      </c>
      <c r="F92" s="0" t="n">
        <v>5170</v>
      </c>
      <c r="G92" s="0" t="n">
        <v>426</v>
      </c>
      <c r="H92" s="0" t="n">
        <v>36</v>
      </c>
      <c r="I92" s="0" t="n">
        <v>39</v>
      </c>
      <c r="J92" s="0" t="n">
        <v>15817</v>
      </c>
      <c r="K92" s="0" t="s">
        <v>35</v>
      </c>
      <c r="L92" s="0" t="n">
        <v>168.7</v>
      </c>
      <c r="M92" s="0" t="n">
        <f aca="false">MAX(Assumptions!$B$33,Assumptions!$B$30-Assumptions!$B$31*(H92-36)-IF(D92=1,Assumptions!$B$32,0))</f>
        <v>0.57</v>
      </c>
      <c r="N92" s="0" t="n">
        <f aca="false">E92*M92</f>
        <v>24564.15</v>
      </c>
      <c r="O92" s="0" t="n">
        <f aca="false">1-POWER(J92/E92,0.1)</f>
        <v>0.0953726309793821</v>
      </c>
      <c r="P92" s="0" t="n">
        <f aca="false">E92*(1+Assumptions!$B$8)+Assumptions!$B$9</f>
        <v>45649.75</v>
      </c>
      <c r="Q92" s="0" t="n">
        <f aca="false">IF(D92=1,Assumptions!$B$14*33.7,Assumptions!$B$13)</f>
        <v>3.1</v>
      </c>
      <c r="R92" s="0" t="n">
        <f aca="false">(Assumptions!$B$10/I92)*Q92</f>
        <v>794.871794871795</v>
      </c>
      <c r="S92" s="0" t="n">
        <f aca="false">Assumptions!$B$15+Assumptions!$B$17</f>
        <v>1750</v>
      </c>
      <c r="T92" s="0" t="n">
        <f aca="false">Assumptions!$B$15*(1+Assumptions!$B$16)+Assumptions!$B$17</f>
        <v>1942</v>
      </c>
      <c r="U92" s="0" t="n">
        <f aca="false">IF(OR(C92&gt;Assumptions!$B$11,Assumptions!$B$10*C92&gt;Assumptions!$B$12),1,0)</f>
        <v>0</v>
      </c>
      <c r="V92" s="0" t="n">
        <f aca="false">MAX(0.6,1-Assumptions!$B$22*MAX(0,(Assumptions!$B$10-10000)*C92)/10000)</f>
        <v>1</v>
      </c>
      <c r="W92" s="0" t="n">
        <f aca="false">IF(U92=1,Assumptions!$B$23,MAX(Assumptions!$B$23,E92*POWER(1-O92,C92)*V92))</f>
        <v>23618.11444955</v>
      </c>
      <c r="X92" s="0" t="n">
        <f aca="true">SUMPRODUCT((ROW(INDIRECT("1:"&amp;C92))&gt;Assumptions!$B$20)*Assumptions!$B$18*POWER(Assumptions!$B$19,ROW(INDIRECT("1:"&amp;C92))-Assumptions!$B$20-1)*IF(ROW(INDIRECT("1:"&amp;C92))&gt;Assumptions!$B$11,Assumptions!$B$21,1)/POWER(1+Assumptions!$B$2,ROW(INDIRECT("1:"&amp;C92))))</f>
        <v>2475.151938064</v>
      </c>
      <c r="Y92" s="1" t="n">
        <f aca="false">-PV(Assumptions!$B$2,C92,R92+S92)+X92</f>
        <v>15516.9937308954</v>
      </c>
      <c r="Z92" s="1" t="n">
        <f aca="false">P92+Y92-(W92/POWER(1+Assumptions!$B$2,C92))</f>
        <v>43237.3694755217</v>
      </c>
      <c r="AA92" s="0" t="n">
        <f aca="false">P92*Assumptions!$B$7</f>
        <v>4564.975</v>
      </c>
      <c r="AB92" s="0" t="n">
        <f aca="false">P92-AA92</f>
        <v>41084.775</v>
      </c>
      <c r="AC92" s="1" t="n">
        <f aca="false">PMT(Assumptions!$B$5,Assumptions!$B$6,-AB92)</f>
        <v>813.333962056788</v>
      </c>
      <c r="AD92" s="0" t="n">
        <f aca="false">C92*12</f>
        <v>72</v>
      </c>
      <c r="AE92" s="0" t="n">
        <f aca="false">MIN(Assumptions!$B$6,AD92)</f>
        <v>60</v>
      </c>
      <c r="AF92" s="0" t="n">
        <f aca="false">IF(AD92&gt;=Assumptions!$B$6,0,-PV(Assumptions!$B$5,Assumptions!$B$6-AD92,AC92))</f>
        <v>0</v>
      </c>
      <c r="AG92" s="1" t="n">
        <f aca="false">AA92+(-PV(Assumptions!$B$3,AE92,AC92))+Y92-((W92-AF92)/POWER(1+Assumptions!$B$2,C92))</f>
        <v>45567.2234627796</v>
      </c>
      <c r="AH92" s="0" t="n">
        <f aca="false">H92/12</f>
        <v>3</v>
      </c>
      <c r="AI92" s="0" t="n">
        <f aca="false">MAX(0,Assumptions!$B$10-Assumptions!$B$24)*Assumptions!$B$25</f>
        <v>0</v>
      </c>
      <c r="AJ92" s="1" t="n">
        <f aca="false">F92+Assumptions!$B$27+(-PV(Assumptions!$B$3,H92-1,G92))</f>
        <v>19777.7885579268</v>
      </c>
      <c r="AK92" s="0" t="n">
        <f aca="false">CEILING(C92/AH92,1)</f>
        <v>2</v>
      </c>
      <c r="AL92" s="0" t="n">
        <f aca="false">(1+Assumptions!$B$26)/POWER(1+Assumptions!$B$2,AH92)</f>
        <v>0.906135810905202</v>
      </c>
      <c r="AM92" s="0" t="n">
        <f aca="false">IF(ABS(1-AL92)&lt;0.000000000001,AK92,(1-POWER(AL92,AK92))/(1-AL92))</f>
        <v>1.9061358109052</v>
      </c>
      <c r="AN92" s="0" t="n">
        <f aca="false">1/POWER(1+Assumptions!$B$2,AH92)</f>
        <v>0.871284433562695</v>
      </c>
      <c r="AO92" s="0" t="n">
        <f aca="false">IF(ABS(1-AN92)&lt;0.000000000001,AK92,AN92*(1-POWER(AN92,AK92))/(1-AN92))</f>
        <v>1.63042099773136</v>
      </c>
      <c r="AP92" s="1" t="n">
        <f aca="false">AJ92*AM92+Assumptions!$B$28*AO92+(-PV(Assumptions!$B$2,C92,R92+T92+AI92))</f>
        <v>52377.1139818402</v>
      </c>
      <c r="AQ92" s="0" t="n">
        <f aca="false">N92*(1+Assumptions!$B$8)</f>
        <v>25792.3575</v>
      </c>
      <c r="AR92" s="1" t="n">
        <f aca="false">PMT(Assumptions!$B$5,Assumptions!$B$29,-AQ92)</f>
        <v>796.275199502581</v>
      </c>
      <c r="AS92" s="0" t="n">
        <f aca="false">MAX(0,AD92-H92)</f>
        <v>36</v>
      </c>
      <c r="AT92" s="0" t="n">
        <f aca="false">MIN(Assumptions!$B$29,AS92)</f>
        <v>36</v>
      </c>
      <c r="AU92" s="0" t="n">
        <f aca="false">IF(AS92&gt;=Assumptions!$B$29,0,-PV(Assumptions!$B$5,Assumptions!$B$29-AS92,AR92))</f>
        <v>0</v>
      </c>
      <c r="AV92" s="1" t="n">
        <f aca="false">(-PV(Assumptions!$B$3,AT92,AR92))/POWER(1+Assumptions!$B$2,AH92)</f>
        <v>23252.8866672528</v>
      </c>
      <c r="AW92" s="1" t="n">
        <f aca="false">-PV(Assumptions!$B$2,AH92,T92+AI92)</f>
        <v>5318.41766002654</v>
      </c>
      <c r="AX92" s="1" t="n">
        <f aca="false">(-PV(Assumptions!$B$2,C92,S92))-(-PV(Assumptions!$B$2,AH92,S92))</f>
        <v>4175.71854126704</v>
      </c>
      <c r="AY92" s="1" t="n">
        <f aca="false">AJ92+AW92+AX92+(-PV(Assumptions!$B$2,C92,R92))+X92-(W92/POWER(1+Assumptions!$B$2,C92))</f>
        <v>17891.2248154903</v>
      </c>
      <c r="AZ92" s="1" t="n">
        <f aca="false">AY92+AV92+(AU92/POWER(1+Assumptions!$B$2,C92))</f>
        <v>41144.1114827431</v>
      </c>
      <c r="BA92" s="0" t="n">
        <f aca="false">AQ92/POWER(1+Assumptions!$B$2,AH92)</f>
        <v>22472.479594634</v>
      </c>
      <c r="BB92" s="1" t="n">
        <f aca="false">AY92+BA92</f>
        <v>40363.7044101243</v>
      </c>
      <c r="BC92" s="1" t="n">
        <f aca="false">AJ92+Assumptions!$B$28/POWER(1+Assumptions!$B$2,AH92)+(-PV(Assumptions!$B$2,AH92,R92+T92+AI92))</f>
        <v>27621.5789982287</v>
      </c>
      <c r="BD92" s="1" t="n">
        <f aca="false">MIN(Z92,AG92,AZ92)</f>
        <v>41144.1114827431</v>
      </c>
      <c r="BE92" s="0" t="str">
        <f aca="false">IF(BD92=Z92,"Cash",IF(BD92=AG92,"Loan","Lease then buy out"))</f>
        <v>Lease then buy out</v>
      </c>
    </row>
    <row r="93" customFormat="false" ht="15" hidden="false" customHeight="false" outlineLevel="0" collapsed="false">
      <c r="A93" s="0" t="s">
        <v>41</v>
      </c>
      <c r="B93" s="0" t="s">
        <v>66</v>
      </c>
      <c r="C93" s="0" t="n">
        <v>6</v>
      </c>
      <c r="D93" s="0" t="n">
        <v>0</v>
      </c>
      <c r="E93" s="0" t="n">
        <v>40145</v>
      </c>
      <c r="F93" s="0" t="n">
        <v>3495</v>
      </c>
      <c r="G93" s="0" t="n">
        <v>495</v>
      </c>
      <c r="H93" s="0" t="n">
        <v>36</v>
      </c>
      <c r="I93" s="0" t="n">
        <v>33</v>
      </c>
      <c r="J93" s="0" t="n">
        <v>12091</v>
      </c>
      <c r="K93" s="0" t="s">
        <v>35</v>
      </c>
      <c r="L93" s="0" t="n">
        <v>169.1</v>
      </c>
      <c r="M93" s="0" t="n">
        <f aca="false">MAX(Assumptions!$B$33,Assumptions!$B$30-Assumptions!$B$31*(H93-36)-IF(D93=1,Assumptions!$B$32,0))</f>
        <v>0.57</v>
      </c>
      <c r="N93" s="0" t="n">
        <f aca="false">E93*M93</f>
        <v>22882.65</v>
      </c>
      <c r="O93" s="0" t="n">
        <f aca="false">1-POWER(J93/E93,0.1)</f>
        <v>0.113082802793248</v>
      </c>
      <c r="P93" s="0" t="n">
        <f aca="false">E93*(1+Assumptions!$B$8)+Assumptions!$B$9</f>
        <v>42552.25</v>
      </c>
      <c r="Q93" s="0" t="n">
        <f aca="false">IF(D93=1,Assumptions!$B$14*33.7,Assumptions!$B$13)</f>
        <v>3.1</v>
      </c>
      <c r="R93" s="0" t="n">
        <f aca="false">(Assumptions!$B$10/I93)*Q93</f>
        <v>939.393939393939</v>
      </c>
      <c r="S93" s="0" t="n">
        <f aca="false">Assumptions!$B$15+Assumptions!$B$17</f>
        <v>1750</v>
      </c>
      <c r="T93" s="0" t="n">
        <f aca="false">Assumptions!$B$15*(1+Assumptions!$B$16)+Assumptions!$B$17</f>
        <v>1942</v>
      </c>
      <c r="U93" s="0" t="n">
        <f aca="false">IF(OR(C93&gt;Assumptions!$B$11,Assumptions!$B$10*C93&gt;Assumptions!$B$12),1,0)</f>
        <v>0</v>
      </c>
      <c r="V93" s="0" t="n">
        <f aca="false">MAX(0.6,1-Assumptions!$B$22*MAX(0,(Assumptions!$B$10-10000)*C93)/10000)</f>
        <v>1</v>
      </c>
      <c r="W93" s="0" t="n">
        <f aca="false">IF(U93=1,Assumptions!$B$23,MAX(Assumptions!$B$23,E93*POWER(1-O93,C93)*V93))</f>
        <v>19540.2410812255</v>
      </c>
      <c r="X93" s="0" t="n">
        <f aca="true">SUMPRODUCT((ROW(INDIRECT("1:"&amp;C93))&gt;Assumptions!$B$20)*Assumptions!$B$18*POWER(Assumptions!$B$19,ROW(INDIRECT("1:"&amp;C93))-Assumptions!$B$20-1)*IF(ROW(INDIRECT("1:"&amp;C93))&gt;Assumptions!$B$11,Assumptions!$B$21,1)/POWER(1+Assumptions!$B$2,ROW(INDIRECT("1:"&amp;C93))))</f>
        <v>2475.151938064</v>
      </c>
      <c r="Y93" s="1" t="n">
        <f aca="false">-PV(Assumptions!$B$2,C93,R93+S93)+X93</f>
        <v>16257.6341624553</v>
      </c>
      <c r="Z93" s="1" t="n">
        <f aca="false">P93+Y93-(W93/POWER(1+Assumptions!$B$2,C93))</f>
        <v>43976.1726850264</v>
      </c>
      <c r="AA93" s="0" t="n">
        <f aca="false">P93*Assumptions!$B$7</f>
        <v>4255.225</v>
      </c>
      <c r="AB93" s="0" t="n">
        <f aca="false">P93-AA93</f>
        <v>38297.025</v>
      </c>
      <c r="AC93" s="1" t="n">
        <f aca="false">PMT(Assumptions!$B$5,Assumptions!$B$6,-AB93)</f>
        <v>758.146322530375</v>
      </c>
      <c r="AD93" s="0" t="n">
        <f aca="false">C93*12</f>
        <v>72</v>
      </c>
      <c r="AE93" s="0" t="n">
        <f aca="false">MIN(Assumptions!$B$6,AD93)</f>
        <v>60</v>
      </c>
      <c r="AF93" s="0" t="n">
        <f aca="false">IF(AD93&gt;=Assumptions!$B$6,0,-PV(Assumptions!$B$5,Assumptions!$B$6-AD93,AC93))</f>
        <v>0</v>
      </c>
      <c r="AG93" s="1" t="n">
        <f aca="false">AA93+(-PV(Assumptions!$B$3,AE93,AC93))+Y93-((W93-AF93)/POWER(1+Assumptions!$B$2,C93))</f>
        <v>46147.9376854765</v>
      </c>
      <c r="AH93" s="0" t="n">
        <f aca="false">H93/12</f>
        <v>3</v>
      </c>
      <c r="AI93" s="0" t="n">
        <f aca="false">MAX(0,Assumptions!$B$10-Assumptions!$B$24)*Assumptions!$B$25</f>
        <v>0</v>
      </c>
      <c r="AJ93" s="1" t="n">
        <f aca="false">F93+Assumptions!$B$27+(-PV(Assumptions!$B$3,H93-1,G93))</f>
        <v>20355.4585356192</v>
      </c>
      <c r="AK93" s="0" t="n">
        <f aca="false">CEILING(C93/AH93,1)</f>
        <v>2</v>
      </c>
      <c r="AL93" s="0" t="n">
        <f aca="false">(1+Assumptions!$B$26)/POWER(1+Assumptions!$B$2,AH93)</f>
        <v>0.906135810905202</v>
      </c>
      <c r="AM93" s="0" t="n">
        <f aca="false">IF(ABS(1-AL93)&lt;0.000000000001,AK93,(1-POWER(AL93,AK93))/(1-AL93))</f>
        <v>1.9061358109052</v>
      </c>
      <c r="AN93" s="0" t="n">
        <f aca="false">1/POWER(1+Assumptions!$B$2,AH93)</f>
        <v>0.871284433562695</v>
      </c>
      <c r="AO93" s="0" t="n">
        <f aca="false">IF(ABS(1-AN93)&lt;0.000000000001,AK93,AN93*(1-POWER(AN93,AK93))/(1-AN93))</f>
        <v>1.63042099773136</v>
      </c>
      <c r="AP93" s="1" t="n">
        <f aca="false">AJ93*AM93+Assumptions!$B$28*AO93+(-PV(Assumptions!$B$2,C93,R93+T93+AI93))</f>
        <v>54218.8718447644</v>
      </c>
      <c r="AQ93" s="0" t="n">
        <f aca="false">N93*(1+Assumptions!$B$8)</f>
        <v>24026.7825</v>
      </c>
      <c r="AR93" s="1" t="n">
        <f aca="false">PMT(Assumptions!$B$5,Assumptions!$B$29,-AQ93)</f>
        <v>741.767441328022</v>
      </c>
      <c r="AS93" s="0" t="n">
        <f aca="false">MAX(0,AD93-H93)</f>
        <v>36</v>
      </c>
      <c r="AT93" s="0" t="n">
        <f aca="false">MIN(Assumptions!$B$29,AS93)</f>
        <v>36</v>
      </c>
      <c r="AU93" s="0" t="n">
        <f aca="false">IF(AS93&gt;=Assumptions!$B$29,0,-PV(Assumptions!$B$5,Assumptions!$B$29-AS93,AR93))</f>
        <v>0</v>
      </c>
      <c r="AV93" s="1" t="n">
        <f aca="false">(-PV(Assumptions!$B$3,AT93,AR93))/POWER(1+Assumptions!$B$2,AH93)</f>
        <v>21661.1471227953</v>
      </c>
      <c r="AW93" s="1" t="n">
        <f aca="false">-PV(Assumptions!$B$2,AH93,T93+AI93)</f>
        <v>5318.41766002654</v>
      </c>
      <c r="AX93" s="1" t="n">
        <f aca="false">(-PV(Assumptions!$B$2,C93,S93))-(-PV(Assumptions!$B$2,AH93,S93))</f>
        <v>4175.71854126704</v>
      </c>
      <c r="AY93" s="1" t="n">
        <f aca="false">AJ93+AW93+AX93+(-PV(Assumptions!$B$2,C93,R93))+X93-(W93/POWER(1+Assumptions!$B$2,C93))</f>
        <v>22305.1980026873</v>
      </c>
      <c r="AZ93" s="1" t="n">
        <f aca="false">AY93+AV93+(AU93/POWER(1+Assumptions!$B$2,C93))</f>
        <v>43966.3451254826</v>
      </c>
      <c r="BA93" s="0" t="n">
        <f aca="false">AQ93/POWER(1+Assumptions!$B$2,AH93)</f>
        <v>20934.1615808466</v>
      </c>
      <c r="BB93" s="1" t="n">
        <f aca="false">AY93+BA93</f>
        <v>43239.3595835339</v>
      </c>
      <c r="BC93" s="1" t="n">
        <f aca="false">AJ93+Assumptions!$B$28/POWER(1+Assumptions!$B$2,AH93)+(-PV(Assumptions!$B$2,AH93,R93+T93+AI93))</f>
        <v>28595.0415226211</v>
      </c>
      <c r="BD93" s="1" t="n">
        <f aca="false">MIN(Z93,AG93,AZ93)</f>
        <v>43966.3451254826</v>
      </c>
      <c r="BE93" s="0" t="str">
        <f aca="false">IF(BD93=Z93,"Cash",IF(BD93=AG93,"Loan","Lease then buy out"))</f>
        <v>Lease then buy out</v>
      </c>
    </row>
    <row r="94" customFormat="false" ht="15" hidden="false" customHeight="false" outlineLevel="0" collapsed="false">
      <c r="A94" s="0" t="s">
        <v>67</v>
      </c>
      <c r="B94" s="0" t="s">
        <v>68</v>
      </c>
      <c r="C94" s="0" t="n">
        <v>6</v>
      </c>
      <c r="D94" s="0" t="n">
        <v>0</v>
      </c>
      <c r="E94" s="0" t="n">
        <v>32340</v>
      </c>
      <c r="F94" s="0" t="n">
        <v>3000</v>
      </c>
      <c r="G94" s="0" t="n">
        <v>329</v>
      </c>
      <c r="H94" s="0" t="n">
        <v>36</v>
      </c>
      <c r="I94" s="0" t="n">
        <v>25</v>
      </c>
      <c r="J94" s="0" t="n">
        <v>10543</v>
      </c>
      <c r="K94" s="0" t="s">
        <v>35</v>
      </c>
      <c r="L94" s="0" t="n">
        <v>156.3</v>
      </c>
      <c r="M94" s="0" t="n">
        <f aca="false">MAX(Assumptions!$B$33,Assumptions!$B$30-Assumptions!$B$31*(H94-36)-IF(D94=1,Assumptions!$B$32,0))</f>
        <v>0.57</v>
      </c>
      <c r="N94" s="0" t="n">
        <f aca="false">E94*M94</f>
        <v>18433.8</v>
      </c>
      <c r="O94" s="0" t="n">
        <f aca="false">1-POWER(J94/E94,0.1)</f>
        <v>0.106031082361688</v>
      </c>
      <c r="P94" s="0" t="n">
        <f aca="false">E94*(1+Assumptions!$B$8)+Assumptions!$B$9</f>
        <v>34357</v>
      </c>
      <c r="Q94" s="0" t="n">
        <f aca="false">IF(D94=1,Assumptions!$B$14*33.7,Assumptions!$B$13)</f>
        <v>3.1</v>
      </c>
      <c r="R94" s="0" t="n">
        <f aca="false">(Assumptions!$B$10/I94)*Q94</f>
        <v>1240</v>
      </c>
      <c r="S94" s="0" t="n">
        <f aca="false">Assumptions!$B$15+Assumptions!$B$17</f>
        <v>1750</v>
      </c>
      <c r="T94" s="0" t="n">
        <f aca="false">Assumptions!$B$15*(1+Assumptions!$B$16)+Assumptions!$B$17</f>
        <v>1942</v>
      </c>
      <c r="U94" s="0" t="n">
        <f aca="false">IF(OR(C94&gt;Assumptions!$B$11,Assumptions!$B$10*C94&gt;Assumptions!$B$12),1,0)</f>
        <v>0</v>
      </c>
      <c r="V94" s="0" t="n">
        <f aca="false">MAX(0.6,1-Assumptions!$B$22*MAX(0,(Assumptions!$B$10-10000)*C94)/10000)</f>
        <v>1</v>
      </c>
      <c r="W94" s="0" t="n">
        <f aca="false">IF(U94=1,Assumptions!$B$23,MAX(Assumptions!$B$23,E94*POWER(1-O94,C94)*V94))</f>
        <v>16507.2424541381</v>
      </c>
      <c r="X94" s="0" t="n">
        <f aca="true">SUMPRODUCT((ROW(INDIRECT("1:"&amp;C94))&gt;Assumptions!$B$20)*Assumptions!$B$18*POWER(Assumptions!$B$19,ROW(INDIRECT("1:"&amp;C94))-Assumptions!$B$20-1)*IF(ROW(INDIRECT("1:"&amp;C94))&gt;Assumptions!$B$11,Assumptions!$B$21,1)/POWER(1+Assumptions!$B$2,ROW(INDIRECT("1:"&amp;C94))))</f>
        <v>2475.151938064</v>
      </c>
      <c r="Y94" s="1" t="n">
        <f aca="false">-PV(Assumptions!$B$2,C94,R94+S94)+X94</f>
        <v>17798.1662601</v>
      </c>
      <c r="Z94" s="1" t="n">
        <f aca="false">P94+Y94-(W94/POWER(1+Assumptions!$B$2,C94))</f>
        <v>39623.9149395664</v>
      </c>
      <c r="AA94" s="0" t="n">
        <f aca="false">P94*Assumptions!$B$7</f>
        <v>3435.7</v>
      </c>
      <c r="AB94" s="0" t="n">
        <f aca="false">P94-AA94</f>
        <v>30921.3</v>
      </c>
      <c r="AC94" s="1" t="n">
        <f aca="false">PMT(Assumptions!$B$5,Assumptions!$B$6,-AB94)</f>
        <v>612.132923715575</v>
      </c>
      <c r="AD94" s="0" t="n">
        <f aca="false">C94*12</f>
        <v>72</v>
      </c>
      <c r="AE94" s="0" t="n">
        <f aca="false">MIN(Assumptions!$B$6,AD94)</f>
        <v>60</v>
      </c>
      <c r="AF94" s="0" t="n">
        <f aca="false">IF(AD94&gt;=Assumptions!$B$6,0,-PV(Assumptions!$B$5,Assumptions!$B$6-AD94,AC94))</f>
        <v>0</v>
      </c>
      <c r="AG94" s="1" t="n">
        <f aca="false">AA94+(-PV(Assumptions!$B$3,AE94,AC94))+Y94-((W94-AF94)/POWER(1+Assumptions!$B$2,C94))</f>
        <v>41377.4139935639</v>
      </c>
      <c r="AH94" s="0" t="n">
        <f aca="false">H94/12</f>
        <v>3</v>
      </c>
      <c r="AI94" s="0" t="n">
        <f aca="false">MAX(0,Assumptions!$B$10-Assumptions!$B$24)*Assumptions!$B$25</f>
        <v>0</v>
      </c>
      <c r="AJ94" s="1" t="n">
        <f aca="false">F94+Assumptions!$B$27+(-PV(Assumptions!$B$3,H94-1,G94))</f>
        <v>14440.9916327651</v>
      </c>
      <c r="AK94" s="0" t="n">
        <f aca="false">CEILING(C94/AH94,1)</f>
        <v>2</v>
      </c>
      <c r="AL94" s="0" t="n">
        <f aca="false">(1+Assumptions!$B$26)/POWER(1+Assumptions!$B$2,AH94)</f>
        <v>0.906135810905202</v>
      </c>
      <c r="AM94" s="0" t="n">
        <f aca="false">IF(ABS(1-AL94)&lt;0.000000000001,AK94,(1-POWER(AL94,AK94))/(1-AL94))</f>
        <v>1.9061358109052</v>
      </c>
      <c r="AN94" s="0" t="n">
        <f aca="false">1/POWER(1+Assumptions!$B$2,AH94)</f>
        <v>0.871284433562695</v>
      </c>
      <c r="AO94" s="0" t="n">
        <f aca="false">IF(ABS(1-AN94)&lt;0.000000000001,AK94,AN94*(1-POWER(AN94,AK94))/(1-AN94))</f>
        <v>1.63042099773136</v>
      </c>
      <c r="AP94" s="1" t="n">
        <f aca="false">AJ94*AM94+Assumptions!$B$28*AO94+(-PV(Assumptions!$B$2,C94,R94+T94+AI94))</f>
        <v>44485.6267764652</v>
      </c>
      <c r="AQ94" s="0" t="n">
        <f aca="false">N94*(1+Assumptions!$B$8)</f>
        <v>19355.49</v>
      </c>
      <c r="AR94" s="1" t="n">
        <f aca="false">PMT(Assumptions!$B$5,Assumptions!$B$29,-AQ94)</f>
        <v>597.552847242452</v>
      </c>
      <c r="AS94" s="0" t="n">
        <f aca="false">MAX(0,AD94-H94)</f>
        <v>36</v>
      </c>
      <c r="AT94" s="0" t="n">
        <f aca="false">MIN(Assumptions!$B$29,AS94)</f>
        <v>36</v>
      </c>
      <c r="AU94" s="0" t="n">
        <f aca="false">IF(AS94&gt;=Assumptions!$B$29,0,-PV(Assumptions!$B$5,Assumptions!$B$29-AS94,AR94))</f>
        <v>0</v>
      </c>
      <c r="AV94" s="1" t="n">
        <f aca="false">(-PV(Assumptions!$B$3,AT94,AR94))/POWER(1+Assumptions!$B$2,AH94)</f>
        <v>17449.7819890696</v>
      </c>
      <c r="AW94" s="1" t="n">
        <f aca="false">-PV(Assumptions!$B$2,AH94,T94+AI94)</f>
        <v>5318.41766002654</v>
      </c>
      <c r="AX94" s="1" t="n">
        <f aca="false">(-PV(Assumptions!$B$2,C94,S94))-(-PV(Assumptions!$B$2,AH94,S94))</f>
        <v>4175.71854126704</v>
      </c>
      <c r="AY94" s="1" t="n">
        <f aca="false">AJ94+AW94+AX94+(-PV(Assumptions!$B$2,C94,R94))+X94-(W94/POWER(1+Assumptions!$B$2,C94))</f>
        <v>20233.7233543732</v>
      </c>
      <c r="AZ94" s="1" t="n">
        <f aca="false">AY94+AV94+(AU94/POWER(1+Assumptions!$B$2,C94))</f>
        <v>37683.5053434429</v>
      </c>
      <c r="BA94" s="0" t="n">
        <f aca="false">AQ94/POWER(1+Assumptions!$B$2,AH94)</f>
        <v>16864.1371409784</v>
      </c>
      <c r="BB94" s="1" t="n">
        <f aca="false">AY94+BA94</f>
        <v>37097.8604953516</v>
      </c>
      <c r="BC94" s="1" t="n">
        <f aca="false">AJ94+Assumptions!$B$28/POWER(1+Assumptions!$B$2,AH94)+(-PV(Assumptions!$B$2,AH94,R94+T94+AI94))</f>
        <v>23503.8231169031</v>
      </c>
      <c r="BD94" s="1" t="n">
        <f aca="false">MIN(Z94,AG94,AZ94)</f>
        <v>37683.5053434429</v>
      </c>
      <c r="BE94" s="0" t="str">
        <f aca="false">IF(BD94=Z94,"Cash",IF(BD94=AG94,"Loan","Lease then buy out"))</f>
        <v>Lease then buy out</v>
      </c>
    </row>
    <row r="95" customFormat="false" ht="15" hidden="false" customHeight="false" outlineLevel="0" collapsed="false">
      <c r="A95" s="0" t="s">
        <v>31</v>
      </c>
      <c r="B95" s="0" t="s">
        <v>69</v>
      </c>
      <c r="C95" s="0" t="n">
        <v>6</v>
      </c>
      <c r="D95" s="0" t="n">
        <v>0</v>
      </c>
      <c r="E95" s="0" t="n">
        <v>36445</v>
      </c>
      <c r="F95" s="0" t="n">
        <v>4304</v>
      </c>
      <c r="G95" s="0" t="n">
        <v>305</v>
      </c>
      <c r="H95" s="0" t="n">
        <v>36</v>
      </c>
      <c r="I95" s="0" t="n">
        <v>26</v>
      </c>
      <c r="J95" s="0" t="n">
        <v>8790</v>
      </c>
      <c r="K95" s="0" t="s">
        <v>35</v>
      </c>
      <c r="L95" s="0" t="n">
        <v>175.6</v>
      </c>
      <c r="M95" s="0" t="n">
        <f aca="false">MAX(Assumptions!$B$33,Assumptions!$B$30-Assumptions!$B$31*(H95-36)-IF(D95=1,Assumptions!$B$32,0))</f>
        <v>0.57</v>
      </c>
      <c r="N95" s="0" t="n">
        <f aca="false">E95*M95</f>
        <v>20773.65</v>
      </c>
      <c r="O95" s="0" t="n">
        <f aca="false">1-POWER(J95/E95,0.1)</f>
        <v>0.132568693869928</v>
      </c>
      <c r="P95" s="0" t="n">
        <f aca="false">E95*(1+Assumptions!$B$8)+Assumptions!$B$9</f>
        <v>38667.25</v>
      </c>
      <c r="Q95" s="0" t="n">
        <f aca="false">IF(D95=1,Assumptions!$B$14*33.7,Assumptions!$B$13)</f>
        <v>3.1</v>
      </c>
      <c r="R95" s="0" t="n">
        <f aca="false">(Assumptions!$B$10/I95)*Q95</f>
        <v>1192.30769230769</v>
      </c>
      <c r="S95" s="0" t="n">
        <f aca="false">Assumptions!$B$15+Assumptions!$B$17</f>
        <v>1750</v>
      </c>
      <c r="T95" s="0" t="n">
        <f aca="false">Assumptions!$B$15*(1+Assumptions!$B$16)+Assumptions!$B$17</f>
        <v>1942</v>
      </c>
      <c r="U95" s="0" t="n">
        <f aca="false">IF(OR(C95&gt;Assumptions!$B$11,Assumptions!$B$10*C95&gt;Assumptions!$B$12),1,0)</f>
        <v>0</v>
      </c>
      <c r="V95" s="0" t="n">
        <f aca="false">MAX(0.6,1-Assumptions!$B$22*MAX(0,(Assumptions!$B$10-10000)*C95)/10000)</f>
        <v>1</v>
      </c>
      <c r="W95" s="0" t="n">
        <f aca="false">IF(U95=1,Assumptions!$B$23,MAX(Assumptions!$B$23,E95*POWER(1-O95,C95)*V95))</f>
        <v>15525.6040760322</v>
      </c>
      <c r="X95" s="0" t="n">
        <f aca="true">SUMPRODUCT((ROW(INDIRECT("1:"&amp;C95))&gt;Assumptions!$B$20)*Assumptions!$B$18*POWER(Assumptions!$B$19,ROW(INDIRECT("1:"&amp;C95))-Assumptions!$B$20-1)*IF(ROW(INDIRECT("1:"&amp;C95))&gt;Assumptions!$B$11,Assumptions!$B$21,1)/POWER(1+Assumptions!$B$2,ROW(INDIRECT("1:"&amp;C95))))</f>
        <v>2475.151938064</v>
      </c>
      <c r="Y95" s="1" t="n">
        <f aca="false">-PV(Assumptions!$B$2,C95,R95+S95)+X95</f>
        <v>17553.7549176852</v>
      </c>
      <c r="Z95" s="1" t="n">
        <f aca="false">P95+Y95-(W95/POWER(1+Assumptions!$B$2,C95))</f>
        <v>44434.9511827631</v>
      </c>
      <c r="AA95" s="0" t="n">
        <f aca="false">P95*Assumptions!$B$7</f>
        <v>3866.725</v>
      </c>
      <c r="AB95" s="0" t="n">
        <f aca="false">P95-AA95</f>
        <v>34800.525</v>
      </c>
      <c r="AC95" s="1" t="n">
        <f aca="false">PMT(Assumptions!$B$5,Assumptions!$B$6,-AB95)</f>
        <v>688.927927192161</v>
      </c>
      <c r="AD95" s="0" t="n">
        <f aca="false">C95*12</f>
        <v>72</v>
      </c>
      <c r="AE95" s="0" t="n">
        <f aca="false">MIN(Assumptions!$B$6,AD95)</f>
        <v>60</v>
      </c>
      <c r="AF95" s="0" t="n">
        <f aca="false">IF(AD95&gt;=Assumptions!$B$6,0,-PV(Assumptions!$B$5,Assumptions!$B$6-AD95,AC95))</f>
        <v>0</v>
      </c>
      <c r="AG95" s="1" t="n">
        <f aca="false">AA95+(-PV(Assumptions!$B$3,AE95,AC95))+Y95-((W95-AF95)/POWER(1+Assumptions!$B$2,C95))</f>
        <v>46408.4350811152</v>
      </c>
      <c r="AH95" s="0" t="n">
        <f aca="false">H95/12</f>
        <v>3</v>
      </c>
      <c r="AI95" s="0" t="n">
        <f aca="false">MAX(0,Assumptions!$B$10-Assumptions!$B$24)*Assumptions!$B$25</f>
        <v>0</v>
      </c>
      <c r="AJ95" s="1" t="n">
        <f aca="false">F95+Assumptions!$B$27+(-PV(Assumptions!$B$3,H95-1,G95))</f>
        <v>14961.4542492199</v>
      </c>
      <c r="AK95" s="0" t="n">
        <f aca="false">CEILING(C95/AH95,1)</f>
        <v>2</v>
      </c>
      <c r="AL95" s="0" t="n">
        <f aca="false">(1+Assumptions!$B$26)/POWER(1+Assumptions!$B$2,AH95)</f>
        <v>0.906135810905202</v>
      </c>
      <c r="AM95" s="0" t="n">
        <f aca="false">IF(ABS(1-AL95)&lt;0.000000000001,AK95,(1-POWER(AL95,AK95))/(1-AL95))</f>
        <v>1.9061358109052</v>
      </c>
      <c r="AN95" s="0" t="n">
        <f aca="false">1/POWER(1+Assumptions!$B$2,AH95)</f>
        <v>0.871284433562695</v>
      </c>
      <c r="AO95" s="0" t="n">
        <f aca="false">IF(ABS(1-AN95)&lt;0.000000000001,AK95,AN95*(1-POWER(AN95,AK95))/(1-AN95))</f>
        <v>1.63042099773136</v>
      </c>
      <c r="AP95" s="1" t="n">
        <f aca="false">AJ95*AM95+Assumptions!$B$28*AO95+(-PV(Assumptions!$B$2,C95,R95+T95+AI95))</f>
        <v>45233.2878655124</v>
      </c>
      <c r="AQ95" s="0" t="n">
        <f aca="false">N95*(1+Assumptions!$B$8)</f>
        <v>21812.3325</v>
      </c>
      <c r="AR95" s="1" t="n">
        <f aca="false">PMT(Assumptions!$B$5,Assumptions!$B$29,-AQ95)</f>
        <v>673.401778532813</v>
      </c>
      <c r="AS95" s="0" t="n">
        <f aca="false">MAX(0,AD95-H95)</f>
        <v>36</v>
      </c>
      <c r="AT95" s="0" t="n">
        <f aca="false">MIN(Assumptions!$B$29,AS95)</f>
        <v>36</v>
      </c>
      <c r="AU95" s="0" t="n">
        <f aca="false">IF(AS95&gt;=Assumptions!$B$29,0,-PV(Assumptions!$B$5,Assumptions!$B$29-AS95,AR95))</f>
        <v>0</v>
      </c>
      <c r="AV95" s="1" t="n">
        <f aca="false">(-PV(Assumptions!$B$3,AT95,AR95))/POWER(1+Assumptions!$B$2,AH95)</f>
        <v>19664.7280331367</v>
      </c>
      <c r="AW95" s="1" t="n">
        <f aca="false">-PV(Assumptions!$B$2,AH95,T95+AI95)</f>
        <v>5318.41766002654</v>
      </c>
      <c r="AX95" s="1" t="n">
        <f aca="false">(-PV(Assumptions!$B$2,C95,S95))-(-PV(Assumptions!$B$2,AH95,S95))</f>
        <v>4175.71854126704</v>
      </c>
      <c r="AY95" s="1" t="n">
        <f aca="false">AJ95+AW95+AX95+(-PV(Assumptions!$B$2,C95,R95))+X95-(W95/POWER(1+Assumptions!$B$2,C95))</f>
        <v>21254.9722140248</v>
      </c>
      <c r="AZ95" s="1" t="n">
        <f aca="false">AY95+AV95+(AU95/POWER(1+Assumptions!$B$2,C95))</f>
        <v>40919.7002471615</v>
      </c>
      <c r="BA95" s="0" t="n">
        <f aca="false">AQ95/POWER(1+Assumptions!$B$2,AH95)</f>
        <v>19004.7457669437</v>
      </c>
      <c r="BB95" s="1" t="n">
        <f aca="false">AY95+BA95</f>
        <v>40259.7179809684</v>
      </c>
      <c r="BC95" s="1" t="n">
        <f aca="false">AJ95+Assumptions!$B$28/POWER(1+Assumptions!$B$2,AH95)+(-PV(Assumptions!$B$2,AH95,R95+T95+AI95))</f>
        <v>23893.6741929469</v>
      </c>
      <c r="BD95" s="1" t="n">
        <f aca="false">MIN(Z95,AG95,AZ95)</f>
        <v>40919.7002471615</v>
      </c>
      <c r="BE95" s="0" t="str">
        <f aca="false">IF(BD95=Z95,"Cash",IF(BD95=AG95,"Loan","Lease then buy out"))</f>
        <v>Lease then buy out</v>
      </c>
    </row>
    <row r="96" customFormat="false" ht="15" hidden="false" customHeight="false" outlineLevel="0" collapsed="false">
      <c r="A96" s="0" t="s">
        <v>31</v>
      </c>
      <c r="B96" s="0" t="s">
        <v>70</v>
      </c>
      <c r="C96" s="0" t="n">
        <v>6</v>
      </c>
      <c r="D96" s="0" t="n">
        <v>0</v>
      </c>
      <c r="E96" s="0" t="n">
        <v>37818</v>
      </c>
      <c r="F96" s="0" t="n">
        <v>2905</v>
      </c>
      <c r="G96" s="0" t="n">
        <v>405</v>
      </c>
      <c r="H96" s="0" t="n">
        <v>36</v>
      </c>
      <c r="I96" s="0" t="n">
        <v>26</v>
      </c>
      <c r="J96" s="0" t="n">
        <v>11849</v>
      </c>
      <c r="K96" s="0" t="s">
        <v>35</v>
      </c>
      <c r="L96" s="0" t="n">
        <v>171</v>
      </c>
      <c r="M96" s="0" t="n">
        <f aca="false">MAX(Assumptions!$B$33,Assumptions!$B$30-Assumptions!$B$31*(H96-36)-IF(D96=1,Assumptions!$B$32,0))</f>
        <v>0.57</v>
      </c>
      <c r="N96" s="0" t="n">
        <f aca="false">E96*M96</f>
        <v>21556.26</v>
      </c>
      <c r="O96" s="0" t="n">
        <f aca="false">1-POWER(J96/E96,0.1)</f>
        <v>0.109573012788338</v>
      </c>
      <c r="P96" s="0" t="n">
        <f aca="false">E96*(1+Assumptions!$B$8)+Assumptions!$B$9</f>
        <v>40108.9</v>
      </c>
      <c r="Q96" s="0" t="n">
        <f aca="false">IF(D96=1,Assumptions!$B$14*33.7,Assumptions!$B$13)</f>
        <v>3.1</v>
      </c>
      <c r="R96" s="0" t="n">
        <f aca="false">(Assumptions!$B$10/I96)*Q96</f>
        <v>1192.30769230769</v>
      </c>
      <c r="S96" s="0" t="n">
        <f aca="false">Assumptions!$B$15+Assumptions!$B$17</f>
        <v>1750</v>
      </c>
      <c r="T96" s="0" t="n">
        <f aca="false">Assumptions!$B$15*(1+Assumptions!$B$16)+Assumptions!$B$17</f>
        <v>1942</v>
      </c>
      <c r="U96" s="0" t="n">
        <f aca="false">IF(OR(C96&gt;Assumptions!$B$11,Assumptions!$B$10*C96&gt;Assumptions!$B$12),1,0)</f>
        <v>0</v>
      </c>
      <c r="V96" s="0" t="n">
        <f aca="false">MAX(0.6,1-Assumptions!$B$22*MAX(0,(Assumptions!$B$10-10000)*C96)/10000)</f>
        <v>1</v>
      </c>
      <c r="W96" s="0" t="n">
        <f aca="false">IF(U96=1,Assumptions!$B$23,MAX(Assumptions!$B$23,E96*POWER(1-O96,C96)*V96))</f>
        <v>18849.0055664018</v>
      </c>
      <c r="X96" s="0" t="n">
        <f aca="true">SUMPRODUCT((ROW(INDIRECT("1:"&amp;C96))&gt;Assumptions!$B$20)*Assumptions!$B$18*POWER(Assumptions!$B$19,ROW(INDIRECT("1:"&amp;C96))-Assumptions!$B$20-1)*IF(ROW(INDIRECT("1:"&amp;C96))&gt;Assumptions!$B$11,Assumptions!$B$21,1)/POWER(1+Assumptions!$B$2,ROW(INDIRECT("1:"&amp;C96))))</f>
        <v>2475.151938064</v>
      </c>
      <c r="Y96" s="1" t="n">
        <f aca="false">-PV(Assumptions!$B$2,C96,R96+S96)+X96</f>
        <v>17553.7549176852</v>
      </c>
      <c r="Z96" s="1" t="n">
        <f aca="false">P96+Y96-(W96/POWER(1+Assumptions!$B$2,C96))</f>
        <v>43353.6855940109</v>
      </c>
      <c r="AA96" s="0" t="n">
        <f aca="false">P96*Assumptions!$B$7</f>
        <v>4010.89</v>
      </c>
      <c r="AB96" s="0" t="n">
        <f aca="false">P96-AA96</f>
        <v>36098.01</v>
      </c>
      <c r="AC96" s="1" t="n">
        <f aca="false">PMT(Assumptions!$B$5,Assumptions!$B$6,-AB96)</f>
        <v>714.613564164963</v>
      </c>
      <c r="AD96" s="0" t="n">
        <f aca="false">C96*12</f>
        <v>72</v>
      </c>
      <c r="AE96" s="0" t="n">
        <f aca="false">MIN(Assumptions!$B$6,AD96)</f>
        <v>60</v>
      </c>
      <c r="AF96" s="0" t="n">
        <f aca="false">IF(AD96&gt;=Assumptions!$B$6,0,-PV(Assumptions!$B$5,Assumptions!$B$6-AD96,AC96))</f>
        <v>0</v>
      </c>
      <c r="AG96" s="1" t="n">
        <f aca="false">AA96+(-PV(Assumptions!$B$3,AE96,AC96))+Y96-((W96-AF96)/POWER(1+Assumptions!$B$2,C96))</f>
        <v>45400.7478580874</v>
      </c>
      <c r="AH96" s="0" t="n">
        <f aca="false">H96/12</f>
        <v>3</v>
      </c>
      <c r="AI96" s="0" t="n">
        <f aca="false">MAX(0,Assumptions!$B$10-Assumptions!$B$24)*Assumptions!$B$25</f>
        <v>0</v>
      </c>
      <c r="AJ96" s="1" t="n">
        <f aca="false">F96+Assumptions!$B$27+(-PV(Assumptions!$B$3,H96-1,G96))</f>
        <v>16827.1933473248</v>
      </c>
      <c r="AK96" s="0" t="n">
        <f aca="false">CEILING(C96/AH96,1)</f>
        <v>2</v>
      </c>
      <c r="AL96" s="0" t="n">
        <f aca="false">(1+Assumptions!$B$26)/POWER(1+Assumptions!$B$2,AH96)</f>
        <v>0.906135810905202</v>
      </c>
      <c r="AM96" s="0" t="n">
        <f aca="false">IF(ABS(1-AL96)&lt;0.000000000001,AK96,(1-POWER(AL96,AK96))/(1-AL96))</f>
        <v>1.9061358109052</v>
      </c>
      <c r="AN96" s="0" t="n">
        <f aca="false">1/POWER(1+Assumptions!$B$2,AH96)</f>
        <v>0.871284433562695</v>
      </c>
      <c r="AO96" s="0" t="n">
        <f aca="false">IF(ABS(1-AN96)&lt;0.000000000001,AK96,AN96*(1-POWER(AN96,AK96))/(1-AN96))</f>
        <v>1.63042099773136</v>
      </c>
      <c r="AP96" s="1" t="n">
        <f aca="false">AJ96*AM96+Assumptions!$B$28*AO96+(-PV(Assumptions!$B$2,C96,R96+T96+AI96))</f>
        <v>48789.6399742161</v>
      </c>
      <c r="AQ96" s="0" t="n">
        <f aca="false">N96*(1+Assumptions!$B$8)</f>
        <v>22634.073</v>
      </c>
      <c r="AR96" s="1" t="n">
        <f aca="false">PMT(Assumptions!$B$5,Assumptions!$B$29,-AQ96)</f>
        <v>698.770982591684</v>
      </c>
      <c r="AS96" s="0" t="n">
        <f aca="false">MAX(0,AD96-H96)</f>
        <v>36</v>
      </c>
      <c r="AT96" s="0" t="n">
        <f aca="false">MIN(Assumptions!$B$29,AS96)</f>
        <v>36</v>
      </c>
      <c r="AU96" s="0" t="n">
        <f aca="false">IF(AS96&gt;=Assumptions!$B$29,0,-PV(Assumptions!$B$5,Assumptions!$B$29-AS96,AR96))</f>
        <v>0</v>
      </c>
      <c r="AV96" s="1" t="n">
        <f aca="false">(-PV(Assumptions!$B$3,AT96,AR96))/POWER(1+Assumptions!$B$2,AH96)</f>
        <v>20405.5613872181</v>
      </c>
      <c r="AW96" s="1" t="n">
        <f aca="false">-PV(Assumptions!$B$2,AH96,T96+AI96)</f>
        <v>5318.41766002654</v>
      </c>
      <c r="AX96" s="1" t="n">
        <f aca="false">(-PV(Assumptions!$B$2,C96,S96))-(-PV(Assumptions!$B$2,AH96,S96))</f>
        <v>4175.71854126704</v>
      </c>
      <c r="AY96" s="1" t="n">
        <f aca="false">AJ96+AW96+AX96+(-PV(Assumptions!$B$2,C96,R96))+X96-(W96/POWER(1+Assumptions!$B$2,C96))</f>
        <v>20597.7957233774</v>
      </c>
      <c r="AZ96" s="1" t="n">
        <f aca="false">AY96+AV96+(AU96/POWER(1+Assumptions!$B$2,C96))</f>
        <v>41003.3571105956</v>
      </c>
      <c r="BA96" s="0" t="n">
        <f aca="false">AQ96/POWER(1+Assumptions!$B$2,AH96)</f>
        <v>19720.7154730217</v>
      </c>
      <c r="BB96" s="1" t="n">
        <f aca="false">AY96+BA96</f>
        <v>40318.5111963991</v>
      </c>
      <c r="BC96" s="1" t="n">
        <f aca="false">AJ96+Assumptions!$B$28/POWER(1+Assumptions!$B$2,AH96)+(-PV(Assumptions!$B$2,AH96,R96+T96+AI96))</f>
        <v>25759.4132910518</v>
      </c>
      <c r="BD96" s="1" t="n">
        <f aca="false">MIN(Z96,AG96,AZ96)</f>
        <v>41003.3571105956</v>
      </c>
      <c r="BE96" s="0" t="str">
        <f aca="false">IF(BD96=Z96,"Cash",IF(BD96=AG96,"Loan","Lease then buy out"))</f>
        <v>Lease then buy out</v>
      </c>
    </row>
    <row r="97" customFormat="false" ht="15" hidden="false" customHeight="false" outlineLevel="0" collapsed="false">
      <c r="A97" s="0" t="s">
        <v>41</v>
      </c>
      <c r="B97" s="0" t="s">
        <v>71</v>
      </c>
      <c r="C97" s="0" t="n">
        <v>6</v>
      </c>
      <c r="D97" s="0" t="n">
        <v>0</v>
      </c>
      <c r="E97" s="0" t="n">
        <v>40446</v>
      </c>
      <c r="F97" s="0" t="n">
        <v>3089</v>
      </c>
      <c r="G97" s="0" t="n">
        <v>589</v>
      </c>
      <c r="H97" s="0" t="n">
        <v>36</v>
      </c>
      <c r="I97" s="0" t="n">
        <v>25</v>
      </c>
      <c r="J97" s="0" t="n">
        <v>11646</v>
      </c>
      <c r="K97" s="0" t="s">
        <v>35</v>
      </c>
      <c r="L97" s="0" t="n">
        <v>183.8</v>
      </c>
      <c r="M97" s="0" t="n">
        <f aca="false">MAX(Assumptions!$B$33,Assumptions!$B$30-Assumptions!$B$31*(H97-36)-IF(D97=1,Assumptions!$B$32,0))</f>
        <v>0.57</v>
      </c>
      <c r="N97" s="0" t="n">
        <f aca="false">E97*M97</f>
        <v>23054.22</v>
      </c>
      <c r="O97" s="0" t="n">
        <f aca="false">1-POWER(J97/E97,0.1)</f>
        <v>0.117062178132306</v>
      </c>
      <c r="P97" s="0" t="n">
        <f aca="false">E97*(1+Assumptions!$B$8)+Assumptions!$B$9</f>
        <v>42868.3</v>
      </c>
      <c r="Q97" s="0" t="n">
        <f aca="false">IF(D97=1,Assumptions!$B$14*33.7,Assumptions!$B$13)</f>
        <v>3.1</v>
      </c>
      <c r="R97" s="0" t="n">
        <f aca="false">(Assumptions!$B$10/I97)*Q97</f>
        <v>1240</v>
      </c>
      <c r="S97" s="0" t="n">
        <f aca="false">Assumptions!$B$15+Assumptions!$B$17</f>
        <v>1750</v>
      </c>
      <c r="T97" s="0" t="n">
        <f aca="false">Assumptions!$B$15*(1+Assumptions!$B$16)+Assumptions!$B$17</f>
        <v>1942</v>
      </c>
      <c r="U97" s="0" t="n">
        <f aca="false">IF(OR(C97&gt;Assumptions!$B$11,Assumptions!$B$10*C97&gt;Assumptions!$B$12),1,0)</f>
        <v>0</v>
      </c>
      <c r="V97" s="0" t="n">
        <f aca="false">MAX(0.6,1-Assumptions!$B$22*MAX(0,(Assumptions!$B$10-10000)*C97)/10000)</f>
        <v>1</v>
      </c>
      <c r="W97" s="0" t="n">
        <f aca="false">IF(U97=1,Assumptions!$B$23,MAX(Assumptions!$B$23,E97*POWER(1-O97,C97)*V97))</f>
        <v>19162.6824334402</v>
      </c>
      <c r="X97" s="0" t="n">
        <f aca="true">SUMPRODUCT((ROW(INDIRECT("1:"&amp;C97))&gt;Assumptions!$B$20)*Assumptions!$B$18*POWER(Assumptions!$B$19,ROW(INDIRECT("1:"&amp;C97))-Assumptions!$B$20-1)*IF(ROW(INDIRECT("1:"&amp;C97))&gt;Assumptions!$B$11,Assumptions!$B$21,1)/POWER(1+Assumptions!$B$2,ROW(INDIRECT("1:"&amp;C97))))</f>
        <v>2475.151938064</v>
      </c>
      <c r="Y97" s="1" t="n">
        <f aca="false">-PV(Assumptions!$B$2,C97,R97+S97)+X97</f>
        <v>17798.1662601</v>
      </c>
      <c r="Z97" s="1" t="n">
        <f aca="false">P97+Y97-(W97/POWER(1+Assumptions!$B$2,C97))</f>
        <v>46119.3733573229</v>
      </c>
      <c r="AA97" s="0" t="n">
        <f aca="false">P97*Assumptions!$B$7</f>
        <v>4286.83</v>
      </c>
      <c r="AB97" s="0" t="n">
        <f aca="false">P97-AA97</f>
        <v>38581.47</v>
      </c>
      <c r="AC97" s="1" t="n">
        <f aca="false">PMT(Assumptions!$B$5,Assumptions!$B$6,-AB97)</f>
        <v>763.777332529511</v>
      </c>
      <c r="AD97" s="0" t="n">
        <f aca="false">C97*12</f>
        <v>72</v>
      </c>
      <c r="AE97" s="0" t="n">
        <f aca="false">MIN(Assumptions!$B$6,AD97)</f>
        <v>60</v>
      </c>
      <c r="AF97" s="0" t="n">
        <f aca="false">IF(AD97&gt;=Assumptions!$B$6,0,-PV(Assumptions!$B$5,Assumptions!$B$6-AD97,AC97))</f>
        <v>0</v>
      </c>
      <c r="AG97" s="1" t="n">
        <f aca="false">AA97+(-PV(Assumptions!$B$3,AE97,AC97))+Y97-((W97-AF97)/POWER(1+Assumptions!$B$2,C97))</f>
        <v>48307.2687933761</v>
      </c>
      <c r="AH97" s="0" t="n">
        <f aca="false">H97/12</f>
        <v>3</v>
      </c>
      <c r="AI97" s="0" t="n">
        <f aca="false">MAX(0,Assumptions!$B$10-Assumptions!$B$24)*Assumptions!$B$25</f>
        <v>0</v>
      </c>
      <c r="AJ97" s="1" t="n">
        <f aca="false">F97+Assumptions!$B$27+(-PV(Assumptions!$B$3,H97-1,G97))</f>
        <v>23018.3132878378</v>
      </c>
      <c r="AK97" s="0" t="n">
        <f aca="false">CEILING(C97/AH97,1)</f>
        <v>2</v>
      </c>
      <c r="AL97" s="0" t="n">
        <f aca="false">(1+Assumptions!$B$26)/POWER(1+Assumptions!$B$2,AH97)</f>
        <v>0.906135810905202</v>
      </c>
      <c r="AM97" s="0" t="n">
        <f aca="false">IF(ABS(1-AL97)&lt;0.000000000001,AK97,(1-POWER(AL97,AK97))/(1-AL97))</f>
        <v>1.9061358109052</v>
      </c>
      <c r="AN97" s="0" t="n">
        <f aca="false">1/POWER(1+Assumptions!$B$2,AH97)</f>
        <v>0.871284433562695</v>
      </c>
      <c r="AO97" s="0" t="n">
        <f aca="false">IF(ABS(1-AN97)&lt;0.000000000001,AK97,AN97*(1-POWER(AN97,AK97))/(1-AN97))</f>
        <v>1.63042099773136</v>
      </c>
      <c r="AP97" s="1" t="n">
        <f aca="false">AJ97*AM97+Assumptions!$B$28*AO97+(-PV(Assumptions!$B$2,C97,R97+T97+AI97))</f>
        <v>60835.166744852</v>
      </c>
      <c r="AQ97" s="0" t="n">
        <f aca="false">N97*(1+Assumptions!$B$8)</f>
        <v>24206.931</v>
      </c>
      <c r="AR97" s="1" t="n">
        <f aca="false">PMT(Assumptions!$B$5,Assumptions!$B$29,-AQ97)</f>
        <v>747.329080382443</v>
      </c>
      <c r="AS97" s="0" t="n">
        <f aca="false">MAX(0,AD97-H97)</f>
        <v>36</v>
      </c>
      <c r="AT97" s="0" t="n">
        <f aca="false">MIN(Assumptions!$B$29,AS97)</f>
        <v>36</v>
      </c>
      <c r="AU97" s="0" t="n">
        <f aca="false">IF(AS97&gt;=Assumptions!$B$29,0,-PV(Assumptions!$B$5,Assumptions!$B$29-AS97,AR97))</f>
        <v>0</v>
      </c>
      <c r="AV97" s="1" t="n">
        <f aca="false">(-PV(Assumptions!$B$3,AT97,AR97))/POWER(1+Assumptions!$B$2,AH97)</f>
        <v>21823.5585136026</v>
      </c>
      <c r="AW97" s="1" t="n">
        <f aca="false">-PV(Assumptions!$B$2,AH97,T97+AI97)</f>
        <v>5318.41766002654</v>
      </c>
      <c r="AX97" s="1" t="n">
        <f aca="false">(-PV(Assumptions!$B$2,C97,S97))-(-PV(Assumptions!$B$2,AH97,S97))</f>
        <v>4175.71854126704</v>
      </c>
      <c r="AY97" s="1" t="n">
        <f aca="false">AJ97+AW97+AX97+(-PV(Assumptions!$B$2,C97,R97))+X97-(W97/POWER(1+Assumptions!$B$2,C97))</f>
        <v>26795.2034272025</v>
      </c>
      <c r="AZ97" s="1" t="n">
        <f aca="false">AY97+AV97+(AU97/POWER(1+Assumptions!$B$2,C97))</f>
        <v>48618.7619408051</v>
      </c>
      <c r="BA97" s="0" t="n">
        <f aca="false">AQ97/POWER(1+Assumptions!$B$2,AH97)</f>
        <v>21091.1221646262</v>
      </c>
      <c r="BB97" s="1" t="n">
        <f aca="false">AY97+BA97</f>
        <v>47886.3255918287</v>
      </c>
      <c r="BC97" s="1" t="n">
        <f aca="false">AJ97+Assumptions!$B$28/POWER(1+Assumptions!$B$2,AH97)+(-PV(Assumptions!$B$2,AH97,R97+T97+AI97))</f>
        <v>32081.1447719758</v>
      </c>
      <c r="BD97" s="1" t="n">
        <f aca="false">MIN(Z97,AG97,AZ97)</f>
        <v>46119.3733573229</v>
      </c>
      <c r="BE97" s="0" t="str">
        <f aca="false">IF(BD97=Z97,"Cash",IF(BD97=AG97,"Loan","Lease then buy out"))</f>
        <v>Cash</v>
      </c>
    </row>
    <row r="98" customFormat="false" ht="15" hidden="false" customHeight="false" outlineLevel="0" collapsed="false">
      <c r="A98" s="0" t="s">
        <v>63</v>
      </c>
      <c r="B98" s="0" t="s">
        <v>72</v>
      </c>
      <c r="C98" s="0" t="n">
        <v>6</v>
      </c>
      <c r="D98" s="0" t="n">
        <v>0</v>
      </c>
      <c r="E98" s="0" t="n">
        <v>40457</v>
      </c>
      <c r="F98" s="0" t="n">
        <v>3047</v>
      </c>
      <c r="G98" s="0" t="n">
        <v>547</v>
      </c>
      <c r="H98" s="0" t="n">
        <v>36</v>
      </c>
      <c r="I98" s="0" t="n">
        <v>23</v>
      </c>
      <c r="J98" s="0" t="n">
        <v>12781</v>
      </c>
      <c r="K98" s="0" t="s">
        <v>35</v>
      </c>
      <c r="L98" s="0" t="n">
        <v>184.8</v>
      </c>
      <c r="M98" s="0" t="n">
        <f aca="false">MAX(Assumptions!$B$33,Assumptions!$B$30-Assumptions!$B$31*(H98-36)-IF(D98=1,Assumptions!$B$32,0))</f>
        <v>0.57</v>
      </c>
      <c r="N98" s="0" t="n">
        <f aca="false">E98*M98</f>
        <v>23060.49</v>
      </c>
      <c r="O98" s="0" t="n">
        <f aca="false">1-POWER(J98/E98,0.1)</f>
        <v>0.108837063385632</v>
      </c>
      <c r="P98" s="0" t="n">
        <f aca="false">E98*(1+Assumptions!$B$8)+Assumptions!$B$9</f>
        <v>42879.85</v>
      </c>
      <c r="Q98" s="0" t="n">
        <f aca="false">IF(D98=1,Assumptions!$B$14*33.7,Assumptions!$B$13)</f>
        <v>3.1</v>
      </c>
      <c r="R98" s="0" t="n">
        <f aca="false">(Assumptions!$B$10/I98)*Q98</f>
        <v>1347.82608695652</v>
      </c>
      <c r="S98" s="0" t="n">
        <f aca="false">Assumptions!$B$15+Assumptions!$B$17</f>
        <v>1750</v>
      </c>
      <c r="T98" s="0" t="n">
        <f aca="false">Assumptions!$B$15*(1+Assumptions!$B$16)+Assumptions!$B$17</f>
        <v>1942</v>
      </c>
      <c r="U98" s="0" t="n">
        <f aca="false">IF(OR(C98&gt;Assumptions!$B$11,Assumptions!$B$10*C98&gt;Assumptions!$B$12),1,0)</f>
        <v>0</v>
      </c>
      <c r="V98" s="0" t="n">
        <f aca="false">MAX(0.6,1-Assumptions!$B$22*MAX(0,(Assumptions!$B$10-10000)*C98)/10000)</f>
        <v>1</v>
      </c>
      <c r="W98" s="0" t="n">
        <f aca="false">IF(U98=1,Assumptions!$B$23,MAX(Assumptions!$B$23,E98*POWER(1-O98,C98)*V98))</f>
        <v>20264.5223288439</v>
      </c>
      <c r="X98" s="0" t="n">
        <f aca="true">SUMPRODUCT((ROW(INDIRECT("1:"&amp;C98))&gt;Assumptions!$B$20)*Assumptions!$B$18*POWER(Assumptions!$B$19,ROW(INDIRECT("1:"&amp;C98))-Assumptions!$B$20-1)*IF(ROW(INDIRECT("1:"&amp;C98))&gt;Assumptions!$B$11,Assumptions!$B$21,1)/POWER(1+Assumptions!$B$2,ROW(INDIRECT("1:"&amp;C98))))</f>
        <v>2475.151938064</v>
      </c>
      <c r="Y98" s="1" t="n">
        <f aca="false">-PV(Assumptions!$B$2,C98,R98+S98)+X98</f>
        <v>18350.7484255595</v>
      </c>
      <c r="Z98" s="1" t="n">
        <f aca="false">P98+Y98-(W98/POWER(1+Assumptions!$B$2,C98))</f>
        <v>45847.0585703217</v>
      </c>
      <c r="AA98" s="0" t="n">
        <f aca="false">P98*Assumptions!$B$7</f>
        <v>4287.985</v>
      </c>
      <c r="AB98" s="0" t="n">
        <f aca="false">P98-AA98</f>
        <v>38591.865</v>
      </c>
      <c r="AC98" s="1" t="n">
        <f aca="false">PMT(Assumptions!$B$5,Assumptions!$B$6,-AB98)</f>
        <v>763.983116948084</v>
      </c>
      <c r="AD98" s="0" t="n">
        <f aca="false">C98*12</f>
        <v>72</v>
      </c>
      <c r="AE98" s="0" t="n">
        <f aca="false">MIN(Assumptions!$B$6,AD98)</f>
        <v>60</v>
      </c>
      <c r="AF98" s="0" t="n">
        <f aca="false">IF(AD98&gt;=Assumptions!$B$6,0,-PV(Assumptions!$B$5,Assumptions!$B$6-AD98,AC98))</f>
        <v>0</v>
      </c>
      <c r="AG98" s="1" t="n">
        <f aca="false">AA98+(-PV(Assumptions!$B$3,AE98,AC98))+Y98-((W98-AF98)/POWER(1+Assumptions!$B$2,C98))</f>
        <v>48035.5434907325</v>
      </c>
      <c r="AH98" s="0" t="n">
        <f aca="false">H98/12</f>
        <v>3</v>
      </c>
      <c r="AI98" s="0" t="n">
        <f aca="false">MAX(0,Assumptions!$B$10-Assumptions!$B$24)*Assumptions!$B$25</f>
        <v>0</v>
      </c>
      <c r="AJ98" s="1" t="n">
        <f aca="false">F98+Assumptions!$B$27+(-PV(Assumptions!$B$3,H98-1,G98))</f>
        <v>21605.1228666337</v>
      </c>
      <c r="AK98" s="0" t="n">
        <f aca="false">CEILING(C98/AH98,1)</f>
        <v>2</v>
      </c>
      <c r="AL98" s="0" t="n">
        <f aca="false">(1+Assumptions!$B$26)/POWER(1+Assumptions!$B$2,AH98)</f>
        <v>0.906135810905202</v>
      </c>
      <c r="AM98" s="0" t="n">
        <f aca="false">IF(ABS(1-AL98)&lt;0.000000000001,AK98,(1-POWER(AL98,AK98))/(1-AL98))</f>
        <v>1.9061358109052</v>
      </c>
      <c r="AN98" s="0" t="n">
        <f aca="false">1/POWER(1+Assumptions!$B$2,AH98)</f>
        <v>0.871284433562695</v>
      </c>
      <c r="AO98" s="0" t="n">
        <f aca="false">IF(ABS(1-AN98)&lt;0.000000000001,AK98,AN98*(1-POWER(AN98,AK98))/(1-AN98))</f>
        <v>1.63042099773136</v>
      </c>
      <c r="AP98" s="1" t="n">
        <f aca="false">AJ98*AM98+Assumptions!$B$28*AO98+(-PV(Assumptions!$B$2,C98,R98+T98+AI98))</f>
        <v>58694.0160408262</v>
      </c>
      <c r="AQ98" s="0" t="n">
        <f aca="false">N98*(1+Assumptions!$B$8)</f>
        <v>24213.5145</v>
      </c>
      <c r="AR98" s="1" t="n">
        <f aca="false">PMT(Assumptions!$B$5,Assumptions!$B$29,-AQ98)</f>
        <v>747.532329650213</v>
      </c>
      <c r="AS98" s="0" t="n">
        <f aca="false">MAX(0,AD98-H98)</f>
        <v>36</v>
      </c>
      <c r="AT98" s="0" t="n">
        <f aca="false">MIN(Assumptions!$B$29,AS98)</f>
        <v>36</v>
      </c>
      <c r="AU98" s="0" t="n">
        <f aca="false">IF(AS98&gt;=Assumptions!$B$29,0,-PV(Assumptions!$B$5,Assumptions!$B$29-AS98,AR98))</f>
        <v>0</v>
      </c>
      <c r="AV98" s="1" t="n">
        <f aca="false">(-PV(Assumptions!$B$3,AT98,AR98))/POWER(1+Assumptions!$B$2,AH98)</f>
        <v>21829.4938135989</v>
      </c>
      <c r="AW98" s="1" t="n">
        <f aca="false">-PV(Assumptions!$B$2,AH98,T98+AI98)</f>
        <v>5318.41766002654</v>
      </c>
      <c r="AX98" s="1" t="n">
        <f aca="false">(-PV(Assumptions!$B$2,C98,S98))-(-PV(Assumptions!$B$2,AH98,S98))</f>
        <v>4175.71854126704</v>
      </c>
      <c r="AY98" s="1" t="n">
        <f aca="false">AJ98+AW98+AX98+(-PV(Assumptions!$B$2,C98,R98))+X98-(W98/POWER(1+Assumptions!$B$2,C98))</f>
        <v>25098.1482189972</v>
      </c>
      <c r="AZ98" s="1" t="n">
        <f aca="false">AY98+AV98+(AU98/POWER(1+Assumptions!$B$2,C98))</f>
        <v>46927.6420325961</v>
      </c>
      <c r="BA98" s="0" t="n">
        <f aca="false">AQ98/POWER(1+Assumptions!$B$2,AH98)</f>
        <v>21096.8582656946</v>
      </c>
      <c r="BB98" s="1" t="n">
        <f aca="false">AY98+BA98</f>
        <v>46195.0064846918</v>
      </c>
      <c r="BC98" s="1" t="n">
        <f aca="false">AJ98+Assumptions!$B$28/POWER(1+Assumptions!$B$2,AH98)+(-PV(Assumptions!$B$2,AH98,R98+T98+AI98))</f>
        <v>30963.2500073531</v>
      </c>
      <c r="BD98" s="1" t="n">
        <f aca="false">MIN(Z98,AG98,AZ98)</f>
        <v>45847.0585703217</v>
      </c>
      <c r="BE98" s="0" t="str">
        <f aca="false">IF(BD98=Z98,"Cash",IF(BD98=AG98,"Loan","Lease then buy out"))</f>
        <v>Cash</v>
      </c>
    </row>
    <row r="99" customFormat="false" ht="15" hidden="false" customHeight="false" outlineLevel="0" collapsed="false">
      <c r="A99" s="0" t="s">
        <v>58</v>
      </c>
      <c r="B99" s="0" t="s">
        <v>73</v>
      </c>
      <c r="C99" s="0" t="n">
        <v>6</v>
      </c>
      <c r="D99" s="0" t="n">
        <v>0</v>
      </c>
      <c r="E99" s="0" t="n">
        <v>49575</v>
      </c>
      <c r="F99" s="0" t="n">
        <v>1304</v>
      </c>
      <c r="G99" s="0" t="n">
        <v>554</v>
      </c>
      <c r="H99" s="0" t="n">
        <v>36</v>
      </c>
      <c r="I99" s="0" t="n">
        <v>35</v>
      </c>
      <c r="J99" s="0" t="n">
        <v>20339</v>
      </c>
      <c r="K99" s="0" t="s">
        <v>35</v>
      </c>
      <c r="L99" s="0" t="n">
        <v>182.3</v>
      </c>
      <c r="M99" s="0" t="n">
        <f aca="false">MAX(Assumptions!$B$33,Assumptions!$B$30-Assumptions!$B$31*(H99-36)-IF(D99=1,Assumptions!$B$32,0))</f>
        <v>0.57</v>
      </c>
      <c r="N99" s="0" t="n">
        <f aca="false">E99*M99</f>
        <v>28257.75</v>
      </c>
      <c r="O99" s="0" t="n">
        <f aca="false">1-POWER(J99/E99,0.1)</f>
        <v>0.0852410078145912</v>
      </c>
      <c r="P99" s="0" t="n">
        <f aca="false">E99*(1+Assumptions!$B$8)+Assumptions!$B$9</f>
        <v>52453.75</v>
      </c>
      <c r="Q99" s="0" t="n">
        <f aca="false">IF(D99=1,Assumptions!$B$14*33.7,Assumptions!$B$13)</f>
        <v>3.1</v>
      </c>
      <c r="R99" s="0" t="n">
        <f aca="false">(Assumptions!$B$10/I99)*Q99</f>
        <v>885.714285714286</v>
      </c>
      <c r="S99" s="0" t="n">
        <f aca="false">Assumptions!$B$15+Assumptions!$B$17</f>
        <v>1750</v>
      </c>
      <c r="T99" s="0" t="n">
        <f aca="false">Assumptions!$B$15*(1+Assumptions!$B$16)+Assumptions!$B$17</f>
        <v>1942</v>
      </c>
      <c r="U99" s="0" t="n">
        <f aca="false">IF(OR(C99&gt;Assumptions!$B$11,Assumptions!$B$10*C99&gt;Assumptions!$B$12),1,0)</f>
        <v>0</v>
      </c>
      <c r="V99" s="0" t="n">
        <f aca="false">MAX(0.6,1-Assumptions!$B$22*MAX(0,(Assumptions!$B$10-10000)*C99)/10000)</f>
        <v>1</v>
      </c>
      <c r="W99" s="0" t="n">
        <f aca="false">IF(U99=1,Assumptions!$B$23,MAX(Assumptions!$B$23,E99*POWER(1-O99,C99)*V99))</f>
        <v>29047.1044863985</v>
      </c>
      <c r="X99" s="0" t="n">
        <f aca="true">SUMPRODUCT((ROW(INDIRECT("1:"&amp;C99))&gt;Assumptions!$B$20)*Assumptions!$B$18*POWER(Assumptions!$B$19,ROW(INDIRECT("1:"&amp;C99))-Assumptions!$B$20-1)*IF(ROW(INDIRECT("1:"&amp;C99))&gt;Assumptions!$B$11,Assumptions!$B$21,1)/POWER(1+Assumptions!$B$2,ROW(INDIRECT("1:"&amp;C99))))</f>
        <v>2475.151938064</v>
      </c>
      <c r="Y99" s="1" t="n">
        <f aca="false">-PV(Assumptions!$B$2,C99,R99+S99)+X99</f>
        <v>15982.5391450188</v>
      </c>
      <c r="Z99" s="1" t="n">
        <f aca="false">P99+Y99-(W99/POWER(1+Assumptions!$B$2,C99))</f>
        <v>46385.570046166</v>
      </c>
      <c r="AA99" s="0" t="n">
        <f aca="false">P99*Assumptions!$B$7</f>
        <v>5245.375</v>
      </c>
      <c r="AB99" s="0" t="n">
        <f aca="false">P99-AA99</f>
        <v>47208.375</v>
      </c>
      <c r="AC99" s="1" t="n">
        <f aca="false">PMT(Assumptions!$B$5,Assumptions!$B$6,-AB99)</f>
        <v>934.559692270741</v>
      </c>
      <c r="AD99" s="0" t="n">
        <f aca="false">C99*12</f>
        <v>72</v>
      </c>
      <c r="AE99" s="0" t="n">
        <f aca="false">MIN(Assumptions!$B$6,AD99)</f>
        <v>60</v>
      </c>
      <c r="AF99" s="0" t="n">
        <f aca="false">IF(AD99&gt;=Assumptions!$B$6,0,-PV(Assumptions!$B$5,Assumptions!$B$6-AD99,AC99))</f>
        <v>0</v>
      </c>
      <c r="AG99" s="1" t="n">
        <f aca="false">AA99+(-PV(Assumptions!$B$3,AE99,AC99))+Y99-((W99-AF99)/POWER(1+Assumptions!$B$2,C99))</f>
        <v>49062.6839095306</v>
      </c>
      <c r="AH99" s="0" t="n">
        <f aca="false">H99/12</f>
        <v>3</v>
      </c>
      <c r="AI99" s="0" t="n">
        <f aca="false">MAX(0,Assumptions!$B$10-Assumptions!$B$24)*Assumptions!$B$25</f>
        <v>0</v>
      </c>
      <c r="AJ99" s="1" t="n">
        <f aca="false">F99+Assumptions!$B$27+(-PV(Assumptions!$B$3,H99-1,G99))</f>
        <v>20090.6546035011</v>
      </c>
      <c r="AK99" s="0" t="n">
        <f aca="false">CEILING(C99/AH99,1)</f>
        <v>2</v>
      </c>
      <c r="AL99" s="0" t="n">
        <f aca="false">(1+Assumptions!$B$26)/POWER(1+Assumptions!$B$2,AH99)</f>
        <v>0.906135810905202</v>
      </c>
      <c r="AM99" s="0" t="n">
        <f aca="false">IF(ABS(1-AL99)&lt;0.000000000001,AK99,(1-POWER(AL99,AK99))/(1-AL99))</f>
        <v>1.9061358109052</v>
      </c>
      <c r="AN99" s="0" t="n">
        <f aca="false">1/POWER(1+Assumptions!$B$2,AH99)</f>
        <v>0.871284433562695</v>
      </c>
      <c r="AO99" s="0" t="n">
        <f aca="false">IF(ABS(1-AN99)&lt;0.000000000001,AK99,AN99*(1-POWER(AN99,AK99))/(1-AN99))</f>
        <v>1.63042099773136</v>
      </c>
      <c r="AP99" s="1" t="n">
        <f aca="false">AJ99*AM99+Assumptions!$B$28*AO99+(-PV(Assumptions!$B$2,C99,R99+T99+AI99))</f>
        <v>53439.024569449</v>
      </c>
      <c r="AQ99" s="0" t="n">
        <f aca="false">N99*(1+Assumptions!$B$8)</f>
        <v>29670.6375</v>
      </c>
      <c r="AR99" s="1" t="n">
        <f aca="false">PMT(Assumptions!$B$5,Assumptions!$B$29,-AQ99)</f>
        <v>916.007495425002</v>
      </c>
      <c r="AS99" s="0" t="n">
        <f aca="false">MAX(0,AD99-H99)</f>
        <v>36</v>
      </c>
      <c r="AT99" s="0" t="n">
        <f aca="false">MIN(Assumptions!$B$29,AS99)</f>
        <v>36</v>
      </c>
      <c r="AU99" s="0" t="n">
        <f aca="false">IF(AS99&gt;=Assumptions!$B$29,0,-PV(Assumptions!$B$5,Assumptions!$B$29-AS99,AR99))</f>
        <v>0</v>
      </c>
      <c r="AV99" s="1" t="n">
        <f aca="false">(-PV(Assumptions!$B$3,AT99,AR99))/POWER(1+Assumptions!$B$2,AH99)</f>
        <v>26749.3179377899</v>
      </c>
      <c r="AW99" s="1" t="n">
        <f aca="false">-PV(Assumptions!$B$2,AH99,T99+AI99)</f>
        <v>5318.41766002654</v>
      </c>
      <c r="AX99" s="1" t="n">
        <f aca="false">(-PV(Assumptions!$B$2,C99,S99))-(-PV(Assumptions!$B$2,AH99,S99))</f>
        <v>4175.71854126704</v>
      </c>
      <c r="AY99" s="1" t="n">
        <f aca="false">AJ99+AW99+AX99+(-PV(Assumptions!$B$2,C99,R99))+X99-(W99/POWER(1+Assumptions!$B$2,C99))</f>
        <v>14548.2914317088</v>
      </c>
      <c r="AZ99" s="1" t="n">
        <f aca="false">AY99+AV99+(AU99/POWER(1+Assumptions!$B$2,C99))</f>
        <v>41297.6093694987</v>
      </c>
      <c r="BA99" s="0" t="n">
        <f aca="false">AQ99/POWER(1+Assumptions!$B$2,AH99)</f>
        <v>25851.5645876315</v>
      </c>
      <c r="BB99" s="1" t="n">
        <f aca="false">AY99+BA99</f>
        <v>40399.8560193403</v>
      </c>
      <c r="BC99" s="1" t="n">
        <f aca="false">AJ99+Assumptions!$B$28/POWER(1+Assumptions!$B$2,AH99)+(-PV(Assumptions!$B$2,AH99,R99+T99+AI99))</f>
        <v>28183.2289303001</v>
      </c>
      <c r="BD99" s="1" t="n">
        <f aca="false">MIN(Z99,AG99,AZ99)</f>
        <v>41297.6093694987</v>
      </c>
      <c r="BE99" s="0" t="str">
        <f aca="false">IF(BD99=Z99,"Cash",IF(BD99=AG99,"Loan","Lease then buy out"))</f>
        <v>Lease then buy out</v>
      </c>
    </row>
    <row r="100" customFormat="false" ht="15" hidden="false" customHeight="false" outlineLevel="0" collapsed="false">
      <c r="A100" s="0" t="s">
        <v>63</v>
      </c>
      <c r="B100" s="0" t="s">
        <v>74</v>
      </c>
      <c r="C100" s="0" t="n">
        <v>6</v>
      </c>
      <c r="D100" s="0" t="n">
        <v>0</v>
      </c>
      <c r="E100" s="0" t="n">
        <v>32598</v>
      </c>
      <c r="F100" s="0" t="n">
        <v>3000</v>
      </c>
      <c r="G100" s="0" t="n">
        <v>506</v>
      </c>
      <c r="H100" s="0" t="n">
        <v>36</v>
      </c>
      <c r="I100" s="0" t="n">
        <v>37</v>
      </c>
      <c r="J100" s="0" t="n">
        <v>9648</v>
      </c>
      <c r="K100" s="0" t="s">
        <v>35</v>
      </c>
      <c r="L100" s="0" t="n">
        <v>87.3</v>
      </c>
      <c r="M100" s="0" t="n">
        <f aca="false">MAX(Assumptions!$B$33,Assumptions!$B$30-Assumptions!$B$31*(H100-36)-IF(D100=1,Assumptions!$B$32,0))</f>
        <v>0.57</v>
      </c>
      <c r="N100" s="0" t="n">
        <f aca="false">E100*M100</f>
        <v>18580.86</v>
      </c>
      <c r="O100" s="0" t="n">
        <f aca="false">1-POWER(J100/E100,0.1)</f>
        <v>0.114630343020944</v>
      </c>
      <c r="P100" s="0" t="n">
        <f aca="false">E100*(1+Assumptions!$B$8)+Assumptions!$B$9</f>
        <v>34627.9</v>
      </c>
      <c r="Q100" s="0" t="n">
        <f aca="false">IF(D100=1,Assumptions!$B$14*33.7,Assumptions!$B$13)</f>
        <v>3.1</v>
      </c>
      <c r="R100" s="0" t="n">
        <f aca="false">(Assumptions!$B$10/I100)*Q100</f>
        <v>837.837837837838</v>
      </c>
      <c r="S100" s="0" t="n">
        <f aca="false">Assumptions!$B$15+Assumptions!$B$17</f>
        <v>1750</v>
      </c>
      <c r="T100" s="0" t="n">
        <f aca="false">Assumptions!$B$15*(1+Assumptions!$B$16)+Assumptions!$B$17</f>
        <v>1942</v>
      </c>
      <c r="U100" s="0" t="n">
        <f aca="false">IF(OR(C100&gt;Assumptions!$B$11,Assumptions!$B$10*C100&gt;Assumptions!$B$12),1,0)</f>
        <v>0</v>
      </c>
      <c r="V100" s="0" t="n">
        <f aca="false">MAX(0.6,1-Assumptions!$B$22*MAX(0,(Assumptions!$B$10-10000)*C100)/10000)</f>
        <v>1</v>
      </c>
      <c r="W100" s="0" t="n">
        <f aca="false">IF(U100=1,Assumptions!$B$23,MAX(Assumptions!$B$23,E100*POWER(1-O100,C100)*V100))</f>
        <v>15701.4137914355</v>
      </c>
      <c r="X100" s="0" t="n">
        <f aca="true">SUMPRODUCT((ROW(INDIRECT("1:"&amp;C100))&gt;Assumptions!$B$20)*Assumptions!$B$18*POWER(Assumptions!$B$19,ROW(INDIRECT("1:"&amp;C100))-Assumptions!$B$20-1)*IF(ROW(INDIRECT("1:"&amp;C100))&gt;Assumptions!$B$11,Assumptions!$B$21,1)/POWER(1+Assumptions!$B$2,ROW(INDIRECT("1:"&amp;C100))))</f>
        <v>2475.151938064</v>
      </c>
      <c r="Y100" s="1" t="n">
        <f aca="false">-PV(Assumptions!$B$2,C100,R100+S100)+X100</f>
        <v>15737.1841294673</v>
      </c>
      <c r="Z100" s="1" t="n">
        <f aca="false">P100+Y100-(W100/POWER(1+Assumptions!$B$2,C100))</f>
        <v>38445.5668112464</v>
      </c>
      <c r="AA100" s="0" t="n">
        <f aca="false">P100*Assumptions!$B$7</f>
        <v>3462.79</v>
      </c>
      <c r="AB100" s="0" t="n">
        <f aca="false">P100-AA100</f>
        <v>31165.11</v>
      </c>
      <c r="AC100" s="1" t="n">
        <f aca="false">PMT(Assumptions!$B$5,Assumptions!$B$6,-AB100)</f>
        <v>616.959503714835</v>
      </c>
      <c r="AD100" s="0" t="n">
        <f aca="false">C100*12</f>
        <v>72</v>
      </c>
      <c r="AE100" s="0" t="n">
        <f aca="false">MIN(Assumptions!$B$6,AD100)</f>
        <v>60</v>
      </c>
      <c r="AF100" s="0" t="n">
        <f aca="false">IF(AD100&gt;=Assumptions!$B$6,0,-PV(Assumptions!$B$5,Assumptions!$B$6-AD100,AC100))</f>
        <v>0</v>
      </c>
      <c r="AG100" s="1" t="n">
        <f aca="false">AA100+(-PV(Assumptions!$B$3,AE100,AC100))+Y100-((W100-AF100)/POWER(1+Assumptions!$B$2,C100))</f>
        <v>40212.8919529037</v>
      </c>
      <c r="AH100" s="0" t="n">
        <f aca="false">H100/12</f>
        <v>3</v>
      </c>
      <c r="AI100" s="0" t="n">
        <f aca="false">MAX(0,Assumptions!$B$10-Assumptions!$B$24)*Assumptions!$B$25</f>
        <v>0</v>
      </c>
      <c r="AJ100" s="1" t="n">
        <f aca="false">F100+Assumptions!$B$27+(-PV(Assumptions!$B$3,H100-1,G100))</f>
        <v>20219.5798364107</v>
      </c>
      <c r="AK100" s="0" t="n">
        <f aca="false">CEILING(C100/AH100,1)</f>
        <v>2</v>
      </c>
      <c r="AL100" s="0" t="n">
        <f aca="false">(1+Assumptions!$B$26)/POWER(1+Assumptions!$B$2,AH100)</f>
        <v>0.906135810905202</v>
      </c>
      <c r="AM100" s="0" t="n">
        <f aca="false">IF(ABS(1-AL100)&lt;0.000000000001,AK100,(1-POWER(AL100,AK100))/(1-AL100))</f>
        <v>1.9061358109052</v>
      </c>
      <c r="AN100" s="0" t="n">
        <f aca="false">1/POWER(1+Assumptions!$B$2,AH100)</f>
        <v>0.871284433562695</v>
      </c>
      <c r="AO100" s="0" t="n">
        <f aca="false">IF(ABS(1-AN100)&lt;0.000000000001,AK100,AN100*(1-POWER(AN100,AK100))/(1-AN100))</f>
        <v>1.63042099773136</v>
      </c>
      <c r="AP100" s="1" t="n">
        <f aca="false">AJ100*AM100+Assumptions!$B$28*AO100+(-PV(Assumptions!$B$2,C100,R100+T100+AI100))</f>
        <v>53439.4185572758</v>
      </c>
      <c r="AQ100" s="0" t="n">
        <f aca="false">N100*(1+Assumptions!$B$8)</f>
        <v>19509.903</v>
      </c>
      <c r="AR100" s="1" t="n">
        <f aca="false">PMT(Assumptions!$B$5,Assumptions!$B$29,-AQ100)</f>
        <v>602.319966431956</v>
      </c>
      <c r="AS100" s="0" t="n">
        <f aca="false">MAX(0,AD100-H100)</f>
        <v>36</v>
      </c>
      <c r="AT100" s="0" t="n">
        <f aca="false">MIN(Assumptions!$B$29,AS100)</f>
        <v>36</v>
      </c>
      <c r="AU100" s="0" t="n">
        <f aca="false">IF(AS100&gt;=Assumptions!$B$29,0,-PV(Assumptions!$B$5,Assumptions!$B$29-AS100,AR100))</f>
        <v>0</v>
      </c>
      <c r="AV100" s="1" t="n">
        <f aca="false">(-PV(Assumptions!$B$3,AT100,AR100))/POWER(1+Assumptions!$B$2,AH100)</f>
        <v>17588.9917526188</v>
      </c>
      <c r="AW100" s="1" t="n">
        <f aca="false">-PV(Assumptions!$B$2,AH100,T100+AI100)</f>
        <v>5318.41766002654</v>
      </c>
      <c r="AX100" s="1" t="n">
        <f aca="false">(-PV(Assumptions!$B$2,C100,S100))-(-PV(Assumptions!$B$2,AH100,S100))</f>
        <v>4175.71854126704</v>
      </c>
      <c r="AY100" s="1" t="n">
        <f aca="false">AJ100+AW100+AX100+(-PV(Assumptions!$B$2,C100,R100))+X100-(W100/POWER(1+Assumptions!$B$2,C100))</f>
        <v>24563.0634296989</v>
      </c>
      <c r="AZ100" s="1" t="n">
        <f aca="false">AY100+AV100+(AU100/POWER(1+Assumptions!$B$2,C100))</f>
        <v>42152.0551823177</v>
      </c>
      <c r="BA100" s="0" t="n">
        <f aca="false">AQ100/POWER(1+Assumptions!$B$2,AH100)</f>
        <v>16998.6747842181</v>
      </c>
      <c r="BB100" s="1" t="n">
        <f aca="false">AY100+BA100</f>
        <v>41561.738213917</v>
      </c>
      <c r="BC100" s="1" t="n">
        <f aca="false">AJ100+Assumptions!$B$28/POWER(1+Assumptions!$B$2,AH100)+(-PV(Assumptions!$B$2,AH100,R100+T100+AI100))</f>
        <v>28181.0383311369</v>
      </c>
      <c r="BD100" s="1" t="n">
        <f aca="false">MIN(Z100,AG100,AZ100)</f>
        <v>38445.5668112464</v>
      </c>
      <c r="BE100" s="0" t="str">
        <f aca="false">IF(BD100=Z100,"Cash",IF(BD100=AG100,"Loan","Lease then buy out"))</f>
        <v>Cash</v>
      </c>
    </row>
    <row r="101" customFormat="false" ht="15" hidden="false" customHeight="false" outlineLevel="0" collapsed="false">
      <c r="A101" s="0" t="s">
        <v>31</v>
      </c>
      <c r="B101" s="0" t="s">
        <v>76</v>
      </c>
      <c r="C101" s="0" t="n">
        <v>6</v>
      </c>
      <c r="D101" s="0" t="n">
        <v>0</v>
      </c>
      <c r="E101" s="0" t="n">
        <v>36712</v>
      </c>
      <c r="F101" s="0" t="n">
        <v>4370</v>
      </c>
      <c r="G101" s="0" t="n">
        <v>317</v>
      </c>
      <c r="H101" s="0" t="n">
        <v>36</v>
      </c>
      <c r="I101" s="0" t="n">
        <v>36</v>
      </c>
      <c r="J101" s="0" t="n">
        <v>6000</v>
      </c>
      <c r="K101" s="0" t="s">
        <v>35</v>
      </c>
      <c r="L101" s="0" t="n">
        <v>120.4</v>
      </c>
      <c r="M101" s="0" t="n">
        <f aca="false">MAX(Assumptions!$B$33,Assumptions!$B$30-Assumptions!$B$31*(H101-36)-IF(D101=1,Assumptions!$B$32,0))</f>
        <v>0.57</v>
      </c>
      <c r="N101" s="0" t="n">
        <f aca="false">E101*M101</f>
        <v>20925.84</v>
      </c>
      <c r="O101" s="0" t="n">
        <f aca="false">1-POWER(J101/E101,0.1)</f>
        <v>0.165676799223019</v>
      </c>
      <c r="P101" s="0" t="n">
        <f aca="false">E101*(1+Assumptions!$B$8)+Assumptions!$B$9</f>
        <v>38947.6</v>
      </c>
      <c r="Q101" s="0" t="n">
        <f aca="false">IF(D101=1,Assumptions!$B$14*33.7,Assumptions!$B$13)</f>
        <v>3.1</v>
      </c>
      <c r="R101" s="0" t="n">
        <f aca="false">(Assumptions!$B$10/I101)*Q101</f>
        <v>861.111111111111</v>
      </c>
      <c r="S101" s="0" t="n">
        <f aca="false">Assumptions!$B$15+Assumptions!$B$17</f>
        <v>1750</v>
      </c>
      <c r="T101" s="0" t="n">
        <f aca="false">Assumptions!$B$15*(1+Assumptions!$B$16)+Assumptions!$B$17</f>
        <v>1942</v>
      </c>
      <c r="U101" s="0" t="n">
        <f aca="false">IF(OR(C101&gt;Assumptions!$B$11,Assumptions!$B$10*C101&gt;Assumptions!$B$12),1,0)</f>
        <v>0</v>
      </c>
      <c r="V101" s="0" t="n">
        <f aca="false">MAX(0.6,1-Assumptions!$B$22*MAX(0,(Assumptions!$B$10-10000)*C101)/10000)</f>
        <v>1</v>
      </c>
      <c r="W101" s="0" t="n">
        <f aca="false">IF(U101=1,Assumptions!$B$23,MAX(Assumptions!$B$23,E101*POWER(1-O101,C101)*V101))</f>
        <v>12382.6605636009</v>
      </c>
      <c r="X101" s="0" t="n">
        <f aca="true">SUMPRODUCT((ROW(INDIRECT("1:"&amp;C101))&gt;Assumptions!$B$20)*Assumptions!$B$18*POWER(Assumptions!$B$19,ROW(INDIRECT("1:"&amp;C101))-Assumptions!$B$20-1)*IF(ROW(INDIRECT("1:"&amp;C101))&gt;Assumptions!$B$11,Assumptions!$B$21,1)/POWER(1+Assumptions!$B$2,ROW(INDIRECT("1:"&amp;C101))))</f>
        <v>2475.151938064</v>
      </c>
      <c r="Y101" s="1" t="n">
        <f aca="false">-PV(Assumptions!$B$2,C101,R101+S101)+X101</f>
        <v>15856.4539286937</v>
      </c>
      <c r="Z101" s="1" t="n">
        <f aca="false">P101+Y101-(W101/POWER(1+Assumptions!$B$2,C101))</f>
        <v>45403.9235331749</v>
      </c>
      <c r="AA101" s="0" t="n">
        <f aca="false">P101*Assumptions!$B$7</f>
        <v>3894.76</v>
      </c>
      <c r="AB101" s="0" t="n">
        <f aca="false">P101-AA101</f>
        <v>35052.84</v>
      </c>
      <c r="AC101" s="1" t="n">
        <f aca="false">PMT(Assumptions!$B$5,Assumptions!$B$6,-AB101)</f>
        <v>693.922876261162</v>
      </c>
      <c r="AD101" s="0" t="n">
        <f aca="false">C101*12</f>
        <v>72</v>
      </c>
      <c r="AE101" s="0" t="n">
        <f aca="false">MIN(Assumptions!$B$6,AD101)</f>
        <v>60</v>
      </c>
      <c r="AF101" s="0" t="n">
        <f aca="false">IF(AD101&gt;=Assumptions!$B$6,0,-PV(Assumptions!$B$5,Assumptions!$B$6-AD101,AC101))</f>
        <v>0</v>
      </c>
      <c r="AG101" s="1" t="n">
        <f aca="false">AA101+(-PV(Assumptions!$B$3,AE101,AC101))+Y101-((W101-AF101)/POWER(1+Assumptions!$B$2,C101))</f>
        <v>47391.7158245703</v>
      </c>
      <c r="AH101" s="0" t="n">
        <f aca="false">H101/12</f>
        <v>3</v>
      </c>
      <c r="AI101" s="0" t="n">
        <f aca="false">MAX(0,Assumptions!$B$10-Assumptions!$B$24)*Assumptions!$B$25</f>
        <v>0</v>
      </c>
      <c r="AJ101" s="1" t="n">
        <f aca="false">F101+Assumptions!$B$27+(-PV(Assumptions!$B$3,H101-1,G101))</f>
        <v>15419.2229409925</v>
      </c>
      <c r="AK101" s="0" t="n">
        <f aca="false">CEILING(C101/AH101,1)</f>
        <v>2</v>
      </c>
      <c r="AL101" s="0" t="n">
        <f aca="false">(1+Assumptions!$B$26)/POWER(1+Assumptions!$B$2,AH101)</f>
        <v>0.906135810905202</v>
      </c>
      <c r="AM101" s="0" t="n">
        <f aca="false">IF(ABS(1-AL101)&lt;0.000000000001,AK101,(1-POWER(AL101,AK101))/(1-AL101))</f>
        <v>1.9061358109052</v>
      </c>
      <c r="AN101" s="0" t="n">
        <f aca="false">1/POWER(1+Assumptions!$B$2,AH101)</f>
        <v>0.871284433562695</v>
      </c>
      <c r="AO101" s="0" t="n">
        <f aca="false">IF(ABS(1-AN101)&lt;0.000000000001,AK101,AN101*(1-POWER(AN101,AK101))/(1-AN101))</f>
        <v>1.63042099773136</v>
      </c>
      <c r="AP101" s="1" t="n">
        <f aca="false">AJ101*AM101+Assumptions!$B$28*AO101+(-PV(Assumptions!$B$2,C101,R101+T101+AI101))</f>
        <v>44408.5561730198</v>
      </c>
      <c r="AQ101" s="0" t="n">
        <f aca="false">N101*(1+Assumptions!$B$8)</f>
        <v>21972.132</v>
      </c>
      <c r="AR101" s="1" t="n">
        <f aca="false">PMT(Assumptions!$B$5,Assumptions!$B$29,-AQ101)</f>
        <v>678.335192577764</v>
      </c>
      <c r="AS101" s="0" t="n">
        <f aca="false">MAX(0,AD101-H101)</f>
        <v>36</v>
      </c>
      <c r="AT101" s="0" t="n">
        <f aca="false">MIN(Assumptions!$B$29,AS101)</f>
        <v>36</v>
      </c>
      <c r="AU101" s="0" t="n">
        <f aca="false">IF(AS101&gt;=Assumptions!$B$29,0,-PV(Assumptions!$B$5,Assumptions!$B$29-AS101,AR101))</f>
        <v>0</v>
      </c>
      <c r="AV101" s="1" t="n">
        <f aca="false">(-PV(Assumptions!$B$3,AT101,AR101))/POWER(1+Assumptions!$B$2,AH101)</f>
        <v>19808.7939512283</v>
      </c>
      <c r="AW101" s="1" t="n">
        <f aca="false">-PV(Assumptions!$B$2,AH101,T101+AI101)</f>
        <v>5318.41766002654</v>
      </c>
      <c r="AX101" s="1" t="n">
        <f aca="false">(-PV(Assumptions!$B$2,C101,S101))-(-PV(Assumptions!$B$2,AH101,S101))</f>
        <v>4175.71854126704</v>
      </c>
      <c r="AY101" s="1" t="n">
        <f aca="false">AJ101+AW101+AX101+(-PV(Assumptions!$B$2,C101,R101))+X101-(W101/POWER(1+Assumptions!$B$2,C101))</f>
        <v>22401.3632562091</v>
      </c>
      <c r="AZ101" s="1" t="n">
        <f aca="false">AY101+AV101+(AU101/POWER(1+Assumptions!$B$2,C101))</f>
        <v>42210.1572074374</v>
      </c>
      <c r="BA101" s="0" t="n">
        <f aca="false">AQ101/POWER(1+Assumptions!$B$2,AH101)</f>
        <v>19143.9765837848</v>
      </c>
      <c r="BB101" s="1" t="n">
        <f aca="false">AY101+BA101</f>
        <v>41545.3398399939</v>
      </c>
      <c r="BC101" s="1" t="n">
        <f aca="false">AJ101+Assumptions!$B$28/POWER(1+Assumptions!$B$2,AH101)+(-PV(Assumptions!$B$2,AH101,R101+T101+AI101))</f>
        <v>23444.4182985319</v>
      </c>
      <c r="BD101" s="1" t="n">
        <f aca="false">MIN(Z101,AG101,AZ101)</f>
        <v>42210.1572074374</v>
      </c>
      <c r="BE101" s="0" t="str">
        <f aca="false">IF(BD101=Z101,"Cash",IF(BD101=AG101,"Loan","Lease then buy out"))</f>
        <v>Lease then buy out</v>
      </c>
    </row>
    <row r="102" customFormat="false" ht="15" hidden="false" customHeight="false" outlineLevel="0" collapsed="false">
      <c r="A102" s="0" t="s">
        <v>58</v>
      </c>
      <c r="B102" s="0" t="s">
        <v>77</v>
      </c>
      <c r="C102" s="0" t="n">
        <v>6</v>
      </c>
      <c r="D102" s="0" t="n">
        <v>0</v>
      </c>
      <c r="E102" s="0" t="n">
        <v>43054</v>
      </c>
      <c r="F102" s="0" t="n">
        <v>3999</v>
      </c>
      <c r="G102" s="0" t="n">
        <v>439</v>
      </c>
      <c r="H102" s="0" t="n">
        <v>36</v>
      </c>
      <c r="I102" s="0" t="n">
        <v>41</v>
      </c>
      <c r="J102" s="0" t="n">
        <v>13500</v>
      </c>
      <c r="K102" s="0" t="s">
        <v>35</v>
      </c>
      <c r="L102" s="0" t="n">
        <v>121.3</v>
      </c>
      <c r="M102" s="0" t="n">
        <f aca="false">MAX(Assumptions!$B$33,Assumptions!$B$30-Assumptions!$B$31*(H102-36)-IF(D102=1,Assumptions!$B$32,0))</f>
        <v>0.57</v>
      </c>
      <c r="N102" s="0" t="n">
        <f aca="false">E102*M102</f>
        <v>24540.78</v>
      </c>
      <c r="O102" s="0" t="n">
        <f aca="false">1-POWER(J102/E102,0.1)</f>
        <v>0.109503890924716</v>
      </c>
      <c r="P102" s="0" t="n">
        <f aca="false">E102*(1+Assumptions!$B$8)+Assumptions!$B$9</f>
        <v>45606.7</v>
      </c>
      <c r="Q102" s="0" t="n">
        <f aca="false">IF(D102=1,Assumptions!$B$14*33.7,Assumptions!$B$13)</f>
        <v>3.1</v>
      </c>
      <c r="R102" s="0" t="n">
        <f aca="false">(Assumptions!$B$10/I102)*Q102</f>
        <v>756.09756097561</v>
      </c>
      <c r="S102" s="0" t="n">
        <f aca="false">Assumptions!$B$15+Assumptions!$B$17</f>
        <v>1750</v>
      </c>
      <c r="T102" s="0" t="n">
        <f aca="false">Assumptions!$B$15*(1+Assumptions!$B$16)+Assumptions!$B$17</f>
        <v>1942</v>
      </c>
      <c r="U102" s="0" t="n">
        <f aca="false">IF(OR(C102&gt;Assumptions!$B$11,Assumptions!$B$10*C102&gt;Assumptions!$B$12),1,0)</f>
        <v>0</v>
      </c>
      <c r="V102" s="0" t="n">
        <f aca="false">MAX(0.6,1-Assumptions!$B$22*MAX(0,(Assumptions!$B$10-10000)*C102)/10000)</f>
        <v>1</v>
      </c>
      <c r="W102" s="0" t="n">
        <f aca="false">IF(U102=1,Assumptions!$B$23,MAX(Assumptions!$B$23,E102*POWER(1-O102,C102)*V102))</f>
        <v>21468.695867751</v>
      </c>
      <c r="X102" s="0" t="n">
        <f aca="true">SUMPRODUCT((ROW(INDIRECT("1:"&amp;C102))&gt;Assumptions!$B$20)*Assumptions!$B$18*POWER(Assumptions!$B$19,ROW(INDIRECT("1:"&amp;C102))-Assumptions!$B$20-1)*IF(ROW(INDIRECT("1:"&amp;C102))&gt;Assumptions!$B$11,Assumptions!$B$21,1)/POWER(1+Assumptions!$B$2,ROW(INDIRECT("1:"&amp;C102))))</f>
        <v>2475.151938064</v>
      </c>
      <c r="Y102" s="1" t="n">
        <f aca="false">-PV(Assumptions!$B$2,C102,R102+S102)+X102</f>
        <v>15318.2853224281</v>
      </c>
      <c r="Z102" s="1" t="n">
        <f aca="false">P102+Y102-(W102/POWER(1+Assumptions!$B$2,C102))</f>
        <v>44627.3133042016</v>
      </c>
      <c r="AA102" s="0" t="n">
        <f aca="false">P102*Assumptions!$B$7</f>
        <v>4560.67</v>
      </c>
      <c r="AB102" s="0" t="n">
        <f aca="false">P102-AA102</f>
        <v>41046.03</v>
      </c>
      <c r="AC102" s="1" t="n">
        <f aca="false">PMT(Assumptions!$B$5,Assumptions!$B$6,-AB102)</f>
        <v>812.566947405743</v>
      </c>
      <c r="AD102" s="0" t="n">
        <f aca="false">C102*12</f>
        <v>72</v>
      </c>
      <c r="AE102" s="0" t="n">
        <f aca="false">MIN(Assumptions!$B$6,AD102)</f>
        <v>60</v>
      </c>
      <c r="AF102" s="0" t="n">
        <f aca="false">IF(AD102&gt;=Assumptions!$B$6,0,-PV(Assumptions!$B$5,Assumptions!$B$6-AD102,AC102))</f>
        <v>0</v>
      </c>
      <c r="AG102" s="1" t="n">
        <f aca="false">AA102+(-PV(Assumptions!$B$3,AE102,AC102))+Y102-((W102-AF102)/POWER(1+Assumptions!$B$2,C102))</f>
        <v>46954.9701224903</v>
      </c>
      <c r="AH102" s="0" t="n">
        <f aca="false">H102/12</f>
        <v>3</v>
      </c>
      <c r="AI102" s="0" t="n">
        <f aca="false">MAX(0,Assumptions!$B$10-Assumptions!$B$24)*Assumptions!$B$25</f>
        <v>0</v>
      </c>
      <c r="AJ102" s="1" t="n">
        <f aca="false">F102+Assumptions!$B$27+(-PV(Assumptions!$B$3,H102-1,G102))</f>
        <v>19031.2046406805</v>
      </c>
      <c r="AK102" s="0" t="n">
        <f aca="false">CEILING(C102/AH102,1)</f>
        <v>2</v>
      </c>
      <c r="AL102" s="0" t="n">
        <f aca="false">(1+Assumptions!$B$26)/POWER(1+Assumptions!$B$2,AH102)</f>
        <v>0.906135810905202</v>
      </c>
      <c r="AM102" s="0" t="n">
        <f aca="false">IF(ABS(1-AL102)&lt;0.000000000001,AK102,(1-POWER(AL102,AK102))/(1-AL102))</f>
        <v>1.9061358109052</v>
      </c>
      <c r="AN102" s="0" t="n">
        <f aca="false">1/POWER(1+Assumptions!$B$2,AH102)</f>
        <v>0.871284433562695</v>
      </c>
      <c r="AO102" s="0" t="n">
        <f aca="false">IF(ABS(1-AN102)&lt;0.000000000001,AK102,AN102*(1-POWER(AN102,AK102))/(1-AN102))</f>
        <v>1.63042099773136</v>
      </c>
      <c r="AP102" s="1" t="n">
        <f aca="false">AJ102*AM102+Assumptions!$B$28*AO102+(-PV(Assumptions!$B$2,C102,R102+T102+AI102))</f>
        <v>50755.3152328637</v>
      </c>
      <c r="AQ102" s="0" t="n">
        <f aca="false">N102*(1+Assumptions!$B$8)</f>
        <v>25767.819</v>
      </c>
      <c r="AR102" s="1" t="n">
        <f aca="false">PMT(Assumptions!$B$5,Assumptions!$B$29,-AQ102)</f>
        <v>795.517634049986</v>
      </c>
      <c r="AS102" s="0" t="n">
        <f aca="false">MAX(0,AD102-H102)</f>
        <v>36</v>
      </c>
      <c r="AT102" s="0" t="n">
        <f aca="false">MIN(Assumptions!$B$29,AS102)</f>
        <v>36</v>
      </c>
      <c r="AU102" s="0" t="n">
        <f aca="false">IF(AS102&gt;=Assumptions!$B$29,0,-PV(Assumptions!$B$5,Assumptions!$B$29-AS102,AR102))</f>
        <v>0</v>
      </c>
      <c r="AV102" s="1" t="n">
        <f aca="false">(-PV(Assumptions!$B$3,AT102,AR102))/POWER(1+Assumptions!$B$2,AH102)</f>
        <v>23230.7641854485</v>
      </c>
      <c r="AW102" s="1" t="n">
        <f aca="false">-PV(Assumptions!$B$2,AH102,T102+AI102)</f>
        <v>5318.41766002654</v>
      </c>
      <c r="AX102" s="1" t="n">
        <f aca="false">(-PV(Assumptions!$B$2,C102,S102))-(-PV(Assumptions!$B$2,AH102,S102))</f>
        <v>4175.71854126704</v>
      </c>
      <c r="AY102" s="1" t="n">
        <f aca="false">AJ102+AW102+AX102+(-PV(Assumptions!$B$2,C102,R102))+X102-(W102/POWER(1+Assumptions!$B$2,C102))</f>
        <v>18577.6347269238</v>
      </c>
      <c r="AZ102" s="1" t="n">
        <f aca="false">AY102+AV102+(AU102/POWER(1+Assumptions!$B$2,C102))</f>
        <v>41808.3989123722</v>
      </c>
      <c r="BA102" s="0" t="n">
        <f aca="false">AQ102/POWER(1+Assumptions!$B$2,AH102)</f>
        <v>22451.099581561</v>
      </c>
      <c r="BB102" s="1" t="n">
        <f aca="false">AY102+BA102</f>
        <v>41028.7343084848</v>
      </c>
      <c r="BC102" s="1" t="n">
        <f aca="false">AJ102+Assumptions!$B$28/POWER(1+Assumptions!$B$2,AH102)+(-PV(Assumptions!$B$2,AH102,R102+T102+AI102))</f>
        <v>26768.8068367457</v>
      </c>
      <c r="BD102" s="1" t="n">
        <f aca="false">MIN(Z102,AG102,AZ102)</f>
        <v>41808.3989123722</v>
      </c>
      <c r="BE102" s="0" t="str">
        <f aca="false">IF(BD102=Z102,"Cash",IF(BD102=AG102,"Loan","Lease then buy out"))</f>
        <v>Lease then buy out</v>
      </c>
    </row>
    <row r="103" customFormat="false" ht="15" hidden="false" customHeight="false" outlineLevel="0" collapsed="false">
      <c r="A103" s="0" t="s">
        <v>78</v>
      </c>
      <c r="B103" s="0" t="s">
        <v>79</v>
      </c>
      <c r="C103" s="0" t="n">
        <v>6</v>
      </c>
      <c r="D103" s="0" t="n">
        <v>0</v>
      </c>
      <c r="E103" s="0" t="n">
        <v>42080</v>
      </c>
      <c r="F103" s="0" t="n">
        <v>3010</v>
      </c>
      <c r="G103" s="0" t="n">
        <v>510</v>
      </c>
      <c r="H103" s="0" t="n">
        <v>36</v>
      </c>
      <c r="I103" s="0" t="n">
        <v>28</v>
      </c>
      <c r="J103" s="0" t="n">
        <v>15798</v>
      </c>
      <c r="K103" s="0" t="s">
        <v>35</v>
      </c>
      <c r="L103" s="0" t="n">
        <v>142.9</v>
      </c>
      <c r="M103" s="0" t="n">
        <f aca="false">MAX(Assumptions!$B$33,Assumptions!$B$30-Assumptions!$B$31*(H103-36)-IF(D103=1,Assumptions!$B$32,0))</f>
        <v>0.57</v>
      </c>
      <c r="N103" s="0" t="n">
        <f aca="false">E103*M103</f>
        <v>23985.6</v>
      </c>
      <c r="O103" s="0" t="n">
        <f aca="false">1-POWER(J103/E103,0.1)</f>
        <v>0.0933229188545778</v>
      </c>
      <c r="P103" s="0" t="n">
        <f aca="false">E103*(1+Assumptions!$B$8)+Assumptions!$B$9</f>
        <v>44584</v>
      </c>
      <c r="Q103" s="0" t="n">
        <f aca="false">IF(D103=1,Assumptions!$B$14*33.7,Assumptions!$B$13)</f>
        <v>3.1</v>
      </c>
      <c r="R103" s="0" t="n">
        <f aca="false">(Assumptions!$B$10/I103)*Q103</f>
        <v>1107.14285714286</v>
      </c>
      <c r="S103" s="0" t="n">
        <f aca="false">Assumptions!$B$15+Assumptions!$B$17</f>
        <v>1750</v>
      </c>
      <c r="T103" s="0" t="n">
        <f aca="false">Assumptions!$B$15*(1+Assumptions!$B$16)+Assumptions!$B$17</f>
        <v>1942</v>
      </c>
      <c r="U103" s="0" t="n">
        <f aca="false">IF(OR(C103&gt;Assumptions!$B$11,Assumptions!$B$10*C103&gt;Assumptions!$B$12),1,0)</f>
        <v>0</v>
      </c>
      <c r="V103" s="0" t="n">
        <f aca="false">MAX(0.6,1-Assumptions!$B$22*MAX(0,(Assumptions!$B$10-10000)*C103)/10000)</f>
        <v>1</v>
      </c>
      <c r="W103" s="0" t="n">
        <f aca="false">IF(U103=1,Assumptions!$B$23,MAX(Assumptions!$B$23,E103*POWER(1-O103,C103)*V103))</f>
        <v>23377.1497115848</v>
      </c>
      <c r="X103" s="0" t="n">
        <f aca="true">SUMPRODUCT((ROW(INDIRECT("1:"&amp;C103))&gt;Assumptions!$B$20)*Assumptions!$B$18*POWER(Assumptions!$B$19,ROW(INDIRECT("1:"&amp;C103))-Assumptions!$B$20-1)*IF(ROW(INDIRECT("1:"&amp;C103))&gt;Assumptions!$B$11,Assumptions!$B$21,1)/POWER(1+Assumptions!$B$2,ROW(INDIRECT("1:"&amp;C103))))</f>
        <v>2475.151938064</v>
      </c>
      <c r="Y103" s="1" t="n">
        <f aca="false">-PV(Assumptions!$B$2,C103,R103+S103)+X103</f>
        <v>17117.3060919445</v>
      </c>
      <c r="Z103" s="1" t="n">
        <f aca="false">P103+Y103-(W103/POWER(1+Assumptions!$B$2,C103))</f>
        <v>43954.8569798356</v>
      </c>
      <c r="AA103" s="0" t="n">
        <f aca="false">P103*Assumptions!$B$7</f>
        <v>4458.4</v>
      </c>
      <c r="AB103" s="0" t="n">
        <f aca="false">P103-AA103</f>
        <v>40125.6</v>
      </c>
      <c r="AC103" s="1" t="n">
        <f aca="false">PMT(Assumptions!$B$5,Assumptions!$B$6,-AB103)</f>
        <v>794.345672524819</v>
      </c>
      <c r="AD103" s="0" t="n">
        <f aca="false">C103*12</f>
        <v>72</v>
      </c>
      <c r="AE103" s="0" t="n">
        <f aca="false">MIN(Assumptions!$B$6,AD103)</f>
        <v>60</v>
      </c>
      <c r="AF103" s="0" t="n">
        <f aca="false">IF(AD103&gt;=Assumptions!$B$6,0,-PV(Assumptions!$B$5,Assumptions!$B$6-AD103,AC103))</f>
        <v>0</v>
      </c>
      <c r="AG103" s="1" t="n">
        <f aca="false">AA103+(-PV(Assumptions!$B$3,AE103,AC103))+Y103-((W103-AF103)/POWER(1+Assumptions!$B$2,C103))</f>
        <v>46230.3176377342</v>
      </c>
      <c r="AH103" s="0" t="n">
        <f aca="false">H103/12</f>
        <v>3</v>
      </c>
      <c r="AI103" s="0" t="n">
        <f aca="false">MAX(0,Assumptions!$B$10-Assumptions!$B$24)*Assumptions!$B$25</f>
        <v>0</v>
      </c>
      <c r="AJ103" s="1" t="n">
        <f aca="false">F103+Assumptions!$B$27+(-PV(Assumptions!$B$3,H103-1,G103))</f>
        <v>20360.1694003349</v>
      </c>
      <c r="AK103" s="0" t="n">
        <f aca="false">CEILING(C103/AH103,1)</f>
        <v>2</v>
      </c>
      <c r="AL103" s="0" t="n">
        <f aca="false">(1+Assumptions!$B$26)/POWER(1+Assumptions!$B$2,AH103)</f>
        <v>0.906135810905202</v>
      </c>
      <c r="AM103" s="0" t="n">
        <f aca="false">IF(ABS(1-AL103)&lt;0.000000000001,AK103,(1-POWER(AL103,AK103))/(1-AL103))</f>
        <v>1.9061358109052</v>
      </c>
      <c r="AN103" s="0" t="n">
        <f aca="false">1/POWER(1+Assumptions!$B$2,AH103)</f>
        <v>0.871284433562695</v>
      </c>
      <c r="AO103" s="0" t="n">
        <f aca="false">IF(ABS(1-AN103)&lt;0.000000000001,AK103,AN103*(1-POWER(AN103,AK103))/(1-AN103))</f>
        <v>1.63042099773136</v>
      </c>
      <c r="AP103" s="1" t="n">
        <f aca="false">AJ103*AM103+Assumptions!$B$28*AO103+(-PV(Assumptions!$B$2,C103,R103+T103+AI103))</f>
        <v>55087.5233221885</v>
      </c>
      <c r="AQ103" s="0" t="n">
        <f aca="false">N103*(1+Assumptions!$B$8)</f>
        <v>25184.88</v>
      </c>
      <c r="AR103" s="1" t="n">
        <f aca="false">PMT(Assumptions!$B$5,Assumptions!$B$29,-AQ103)</f>
        <v>777.520835249301</v>
      </c>
      <c r="AS103" s="0" t="n">
        <f aca="false">MAX(0,AD103-H103)</f>
        <v>36</v>
      </c>
      <c r="AT103" s="0" t="n">
        <f aca="false">MIN(Assumptions!$B$29,AS103)</f>
        <v>36</v>
      </c>
      <c r="AU103" s="0" t="n">
        <f aca="false">IF(AS103&gt;=Assumptions!$B$29,0,-PV(Assumptions!$B$5,Assumptions!$B$29-AS103,AR103))</f>
        <v>0</v>
      </c>
      <c r="AV103" s="1" t="n">
        <f aca="false">(-PV(Assumptions!$B$3,AT103,AR103))/POWER(1+Assumptions!$B$2,AH103)</f>
        <v>22705.220349414</v>
      </c>
      <c r="AW103" s="1" t="n">
        <f aca="false">-PV(Assumptions!$B$2,AH103,T103+AI103)</f>
        <v>5318.41766002654</v>
      </c>
      <c r="AX103" s="1" t="n">
        <f aca="false">(-PV(Assumptions!$B$2,C103,S103))-(-PV(Assumptions!$B$2,AH103,S103))</f>
        <v>4175.71854126704</v>
      </c>
      <c r="AY103" s="1" t="n">
        <f aca="false">AJ103+AW103+AX103+(-PV(Assumptions!$B$2,C103,R103))+X103-(W103/POWER(1+Assumptions!$B$2,C103))</f>
        <v>20256.8431622123</v>
      </c>
      <c r="AZ103" s="1" t="n">
        <f aca="false">AY103+AV103+(AU103/POWER(1+Assumptions!$B$2,C103))</f>
        <v>42962.0635116263</v>
      </c>
      <c r="BA103" s="0" t="n">
        <f aca="false">AQ103/POWER(1+Assumptions!$B$2,AH103)</f>
        <v>21943.1939051444</v>
      </c>
      <c r="BB103" s="1" t="n">
        <f aca="false">AY103+BA103</f>
        <v>42200.0370673567</v>
      </c>
      <c r="BC103" s="1" t="n">
        <f aca="false">AJ103+Assumptions!$B$28/POWER(1+Assumptions!$B$2,AH103)+(-PV(Assumptions!$B$2,AH103,R103+T103+AI103))</f>
        <v>29059.1544504708</v>
      </c>
      <c r="BD103" s="1" t="n">
        <f aca="false">MIN(Z103,AG103,AZ103)</f>
        <v>42962.0635116263</v>
      </c>
      <c r="BE103" s="0" t="str">
        <f aca="false">IF(BD103=Z103,"Cash",IF(BD103=AG103,"Loan","Lease then buy out"))</f>
        <v>Lease then buy out</v>
      </c>
    </row>
    <row r="104" customFormat="false" ht="15" hidden="false" customHeight="false" outlineLevel="0" collapsed="false">
      <c r="A104" s="0" t="s">
        <v>80</v>
      </c>
      <c r="B104" s="0" t="s">
        <v>81</v>
      </c>
      <c r="C104" s="0" t="n">
        <v>6</v>
      </c>
      <c r="D104" s="0" t="n">
        <v>0</v>
      </c>
      <c r="E104" s="0" t="n">
        <v>46900</v>
      </c>
      <c r="F104" s="0" t="n">
        <v>4399</v>
      </c>
      <c r="G104" s="0" t="n">
        <v>599</v>
      </c>
      <c r="H104" s="0" t="n">
        <v>36</v>
      </c>
      <c r="I104" s="0" t="n">
        <v>26</v>
      </c>
      <c r="J104" s="0" t="n">
        <v>15219</v>
      </c>
      <c r="K104" s="0" t="s">
        <v>35</v>
      </c>
      <c r="L104" s="0" t="n">
        <v>163.3</v>
      </c>
      <c r="M104" s="0" t="n">
        <f aca="false">MAX(Assumptions!$B$33,Assumptions!$B$30-Assumptions!$B$31*(H104-36)-IF(D104=1,Assumptions!$B$32,0))</f>
        <v>0.57</v>
      </c>
      <c r="N104" s="0" t="n">
        <f aca="false">E104*M104</f>
        <v>26733</v>
      </c>
      <c r="O104" s="0" t="n">
        <f aca="false">1-POWER(J104/E104,0.1)</f>
        <v>0.106444921566187</v>
      </c>
      <c r="P104" s="0" t="n">
        <f aca="false">E104*(1+Assumptions!$B$8)+Assumptions!$B$9</f>
        <v>49645</v>
      </c>
      <c r="Q104" s="0" t="n">
        <f aca="false">IF(D104=1,Assumptions!$B$14*33.7,Assumptions!$B$13)</f>
        <v>3.1</v>
      </c>
      <c r="R104" s="0" t="n">
        <f aca="false">(Assumptions!$B$10/I104)*Q104</f>
        <v>1192.30769230769</v>
      </c>
      <c r="S104" s="0" t="n">
        <f aca="false">Assumptions!$B$15+Assumptions!$B$17</f>
        <v>1750</v>
      </c>
      <c r="T104" s="0" t="n">
        <f aca="false">Assumptions!$B$15*(1+Assumptions!$B$16)+Assumptions!$B$17</f>
        <v>1942</v>
      </c>
      <c r="U104" s="0" t="n">
        <f aca="false">IF(OR(C104&gt;Assumptions!$B$11,Assumptions!$B$10*C104&gt;Assumptions!$B$12),1,0)</f>
        <v>0</v>
      </c>
      <c r="V104" s="0" t="n">
        <f aca="false">MAX(0.6,1-Assumptions!$B$22*MAX(0,(Assumptions!$B$10-10000)*C104)/10000)</f>
        <v>1</v>
      </c>
      <c r="W104" s="0" t="n">
        <f aca="false">IF(U104=1,Assumptions!$B$23,MAX(Assumptions!$B$23,E104*POWER(1-O104,C104)*V104))</f>
        <v>23872.6597001652</v>
      </c>
      <c r="X104" s="0" t="n">
        <f aca="true">SUMPRODUCT((ROW(INDIRECT("1:"&amp;C104))&gt;Assumptions!$B$20)*Assumptions!$B$18*POWER(Assumptions!$B$19,ROW(INDIRECT("1:"&amp;C104))-Assumptions!$B$20-1)*IF(ROW(INDIRECT("1:"&amp;C104))&gt;Assumptions!$B$11,Assumptions!$B$21,1)/POWER(1+Assumptions!$B$2,ROW(INDIRECT("1:"&amp;C104))))</f>
        <v>2475.151938064</v>
      </c>
      <c r="Y104" s="1" t="n">
        <f aca="false">-PV(Assumptions!$B$2,C104,R104+S104)+X104</f>
        <v>17553.7549176852</v>
      </c>
      <c r="Z104" s="1" t="n">
        <f aca="false">P104+Y104-(W104/POWER(1+Assumptions!$B$2,C104))</f>
        <v>49076.146055334</v>
      </c>
      <c r="AA104" s="0" t="n">
        <f aca="false">P104*Assumptions!$B$7</f>
        <v>4964.5</v>
      </c>
      <c r="AB104" s="0" t="n">
        <f aca="false">P104-AA104</f>
        <v>44680.5</v>
      </c>
      <c r="AC104" s="1" t="n">
        <f aca="false">PMT(Assumptions!$B$5,Assumptions!$B$6,-AB104)</f>
        <v>884.516663208654</v>
      </c>
      <c r="AD104" s="0" t="n">
        <f aca="false">C104*12</f>
        <v>72</v>
      </c>
      <c r="AE104" s="0" t="n">
        <f aca="false">MIN(Assumptions!$B$6,AD104)</f>
        <v>60</v>
      </c>
      <c r="AF104" s="0" t="n">
        <f aca="false">IF(AD104&gt;=Assumptions!$B$6,0,-PV(Assumptions!$B$5,Assumptions!$B$6-AD104,AC104))</f>
        <v>0</v>
      </c>
      <c r="AG104" s="1" t="n">
        <f aca="false">AA104+(-PV(Assumptions!$B$3,AE104,AC104))+Y104-((W104-AF104)/POWER(1+Assumptions!$B$2,C104))</f>
        <v>51609.9080408306</v>
      </c>
      <c r="AH104" s="0" t="n">
        <f aca="false">H104/12</f>
        <v>3</v>
      </c>
      <c r="AI104" s="0" t="n">
        <f aca="false">MAX(0,Assumptions!$B$10-Assumptions!$B$24)*Assumptions!$B$25</f>
        <v>0</v>
      </c>
      <c r="AJ104" s="1" t="n">
        <f aca="false">F104+Assumptions!$B$27+(-PV(Assumptions!$B$3,H104-1,G104))</f>
        <v>24654.7871976483</v>
      </c>
      <c r="AK104" s="0" t="n">
        <f aca="false">CEILING(C104/AH104,1)</f>
        <v>2</v>
      </c>
      <c r="AL104" s="0" t="n">
        <f aca="false">(1+Assumptions!$B$26)/POWER(1+Assumptions!$B$2,AH104)</f>
        <v>0.906135810905202</v>
      </c>
      <c r="AM104" s="0" t="n">
        <f aca="false">IF(ABS(1-AL104)&lt;0.000000000001,AK104,(1-POWER(AL104,AK104))/(1-AL104))</f>
        <v>1.9061358109052</v>
      </c>
      <c r="AN104" s="0" t="n">
        <f aca="false">1/POWER(1+Assumptions!$B$2,AH104)</f>
        <v>0.871284433562695</v>
      </c>
      <c r="AO104" s="0" t="n">
        <f aca="false">IF(ABS(1-AN104)&lt;0.000000000001,AK104,AN104*(1-POWER(AN104,AK104))/(1-AN104))</f>
        <v>1.63042099773136</v>
      </c>
      <c r="AP104" s="1" t="n">
        <f aca="false">AJ104*AM104+Assumptions!$B$28*AO104+(-PV(Assumptions!$B$2,C104,R104+T104+AI104))</f>
        <v>63710.096925539</v>
      </c>
      <c r="AQ104" s="0" t="n">
        <f aca="false">N104*(1+Assumptions!$B$8)</f>
        <v>28069.65</v>
      </c>
      <c r="AR104" s="1" t="n">
        <f aca="false">PMT(Assumptions!$B$5,Assumptions!$B$29,-AQ104)</f>
        <v>866.580968944682</v>
      </c>
      <c r="AS104" s="0" t="n">
        <f aca="false">MAX(0,AD104-H104)</f>
        <v>36</v>
      </c>
      <c r="AT104" s="0" t="n">
        <f aca="false">MIN(Assumptions!$B$29,AS104)</f>
        <v>36</v>
      </c>
      <c r="AU104" s="0" t="n">
        <f aca="false">IF(AS104&gt;=Assumptions!$B$29,0,-PV(Assumptions!$B$5,Assumptions!$B$29-AS104,AR104))</f>
        <v>0</v>
      </c>
      <c r="AV104" s="1" t="n">
        <f aca="false">(-PV(Assumptions!$B$3,AT104,AR104))/POWER(1+Assumptions!$B$2,AH104)</f>
        <v>25305.9608932395</v>
      </c>
      <c r="AW104" s="1" t="n">
        <f aca="false">-PV(Assumptions!$B$2,AH104,T104+AI104)</f>
        <v>5318.41766002654</v>
      </c>
      <c r="AX104" s="1" t="n">
        <f aca="false">(-PV(Assumptions!$B$2,C104,S104))-(-PV(Assumptions!$B$2,AH104,S104))</f>
        <v>4175.71854126704</v>
      </c>
      <c r="AY104" s="1" t="n">
        <f aca="false">AJ104+AW104+AX104+(-PV(Assumptions!$B$2,C104,R104))+X104-(W104/POWER(1+Assumptions!$B$2,C104))</f>
        <v>24611.7500350241</v>
      </c>
      <c r="AZ104" s="1" t="n">
        <f aca="false">AY104+AV104+(AU104/POWER(1+Assumptions!$B$2,C104))</f>
        <v>49917.7109282636</v>
      </c>
      <c r="BA104" s="0" t="n">
        <f aca="false">AQ104/POWER(1+Assumptions!$B$2,AH104)</f>
        <v>24456.6491005531</v>
      </c>
      <c r="BB104" s="1" t="n">
        <f aca="false">AY104+BA104</f>
        <v>49068.3991355772</v>
      </c>
      <c r="BC104" s="1" t="n">
        <f aca="false">AJ104+Assumptions!$B$28/POWER(1+Assumptions!$B$2,AH104)+(-PV(Assumptions!$B$2,AH104,R104+T104+AI104))</f>
        <v>33587.0071413752</v>
      </c>
      <c r="BD104" s="1" t="n">
        <f aca="false">MIN(Z104,AG104,AZ104)</f>
        <v>49076.146055334</v>
      </c>
      <c r="BE104" s="0" t="str">
        <f aca="false">IF(BD104=Z104,"Cash",IF(BD104=AG104,"Loan","Lease then buy out"))</f>
        <v>Cash</v>
      </c>
    </row>
    <row r="105" customFormat="false" ht="15" hidden="false" customHeight="false" outlineLevel="0" collapsed="false">
      <c r="A105" s="0" t="s">
        <v>82</v>
      </c>
      <c r="B105" s="0" t="s">
        <v>83</v>
      </c>
      <c r="C105" s="0" t="n">
        <v>6</v>
      </c>
      <c r="D105" s="0" t="n">
        <v>0</v>
      </c>
      <c r="E105" s="0" t="n">
        <v>46469</v>
      </c>
      <c r="F105" s="0" t="n">
        <v>3125</v>
      </c>
      <c r="G105" s="0" t="n">
        <v>625</v>
      </c>
      <c r="H105" s="0" t="n">
        <v>36</v>
      </c>
      <c r="I105" s="0" t="n">
        <v>23</v>
      </c>
      <c r="J105" s="0" t="n">
        <v>15292</v>
      </c>
      <c r="K105" s="0" t="s">
        <v>35</v>
      </c>
      <c r="L105" s="0" t="n">
        <v>164.1</v>
      </c>
      <c r="M105" s="0" t="n">
        <f aca="false">MAX(Assumptions!$B$33,Assumptions!$B$30-Assumptions!$B$31*(H105-36)-IF(D105=1,Assumptions!$B$32,0))</f>
        <v>0.57</v>
      </c>
      <c r="N105" s="0" t="n">
        <f aca="false">E105*M105</f>
        <v>26487.33</v>
      </c>
      <c r="O105" s="0" t="n">
        <f aca="false">1-POWER(J105/E105,0.1)</f>
        <v>0.105191509570265</v>
      </c>
      <c r="P105" s="0" t="n">
        <f aca="false">E105*(1+Assumptions!$B$8)+Assumptions!$B$9</f>
        <v>49192.45</v>
      </c>
      <c r="Q105" s="0" t="n">
        <f aca="false">IF(D105=1,Assumptions!$B$14*33.7,Assumptions!$B$13)</f>
        <v>3.1</v>
      </c>
      <c r="R105" s="0" t="n">
        <f aca="false">(Assumptions!$B$10/I105)*Q105</f>
        <v>1347.82608695652</v>
      </c>
      <c r="S105" s="0" t="n">
        <f aca="false">Assumptions!$B$15+Assumptions!$B$17</f>
        <v>1750</v>
      </c>
      <c r="T105" s="0" t="n">
        <f aca="false">Assumptions!$B$15*(1+Assumptions!$B$16)+Assumptions!$B$17</f>
        <v>1942</v>
      </c>
      <c r="U105" s="0" t="n">
        <f aca="false">IF(OR(C105&gt;Assumptions!$B$11,Assumptions!$B$10*C105&gt;Assumptions!$B$12),1,0)</f>
        <v>0</v>
      </c>
      <c r="V105" s="0" t="n">
        <f aca="false">MAX(0.6,1-Assumptions!$B$22*MAX(0,(Assumptions!$B$10-10000)*C105)/10000)</f>
        <v>1</v>
      </c>
      <c r="W105" s="0" t="n">
        <f aca="false">IF(U105=1,Assumptions!$B$23,MAX(Assumptions!$B$23,E105*POWER(1-O105,C105)*V105))</f>
        <v>23853.0492172644</v>
      </c>
      <c r="X105" s="0" t="n">
        <f aca="true">SUMPRODUCT((ROW(INDIRECT("1:"&amp;C105))&gt;Assumptions!$B$20)*Assumptions!$B$18*POWER(Assumptions!$B$19,ROW(INDIRECT("1:"&amp;C105))-Assumptions!$B$20-1)*IF(ROW(INDIRECT("1:"&amp;C105))&gt;Assumptions!$B$11,Assumptions!$B$21,1)/POWER(1+Assumptions!$B$2,ROW(INDIRECT("1:"&amp;C105))))</f>
        <v>2475.151938064</v>
      </c>
      <c r="Y105" s="1" t="n">
        <f aca="false">-PV(Assumptions!$B$2,C105,R105+S105)+X105</f>
        <v>18350.7484255595</v>
      </c>
      <c r="Z105" s="1" t="n">
        <f aca="false">P105+Y105-(W105/POWER(1+Assumptions!$B$2,C105))</f>
        <v>49435.4765978193</v>
      </c>
      <c r="AA105" s="0" t="n">
        <f aca="false">P105*Assumptions!$B$7</f>
        <v>4919.245</v>
      </c>
      <c r="AB105" s="0" t="n">
        <f aca="false">P105-AA105</f>
        <v>44273.205</v>
      </c>
      <c r="AC105" s="1" t="n">
        <f aca="false">PMT(Assumptions!$B$5,Assumptions!$B$6,-AB105)</f>
        <v>876.453655535473</v>
      </c>
      <c r="AD105" s="0" t="n">
        <f aca="false">C105*12</f>
        <v>72</v>
      </c>
      <c r="AE105" s="0" t="n">
        <f aca="false">MIN(Assumptions!$B$6,AD105)</f>
        <v>60</v>
      </c>
      <c r="AF105" s="0" t="n">
        <f aca="false">IF(AD105&gt;=Assumptions!$B$6,0,-PV(Assumptions!$B$5,Assumptions!$B$6-AD105,AC105))</f>
        <v>0</v>
      </c>
      <c r="AG105" s="1" t="n">
        <f aca="false">AA105+(-PV(Assumptions!$B$3,AE105,AC105))+Y105-((W105-AF105)/POWER(1+Assumptions!$B$2,C105))</f>
        <v>51946.1415143957</v>
      </c>
      <c r="AH105" s="0" t="n">
        <f aca="false">H105/12</f>
        <v>3</v>
      </c>
      <c r="AI105" s="0" t="n">
        <f aca="false">MAX(0,Assumptions!$B$10-Assumptions!$B$24)*Assumptions!$B$25</f>
        <v>0</v>
      </c>
      <c r="AJ105" s="1" t="n">
        <f aca="false">F105+Assumptions!$B$27+(-PV(Assumptions!$B$3,H105-1,G105))</f>
        <v>24229.6193631555</v>
      </c>
      <c r="AK105" s="0" t="n">
        <f aca="false">CEILING(C105/AH105,1)</f>
        <v>2</v>
      </c>
      <c r="AL105" s="0" t="n">
        <f aca="false">(1+Assumptions!$B$26)/POWER(1+Assumptions!$B$2,AH105)</f>
        <v>0.906135810905202</v>
      </c>
      <c r="AM105" s="0" t="n">
        <f aca="false">IF(ABS(1-AL105)&lt;0.000000000001,AK105,(1-POWER(AL105,AK105))/(1-AL105))</f>
        <v>1.9061358109052</v>
      </c>
      <c r="AN105" s="0" t="n">
        <f aca="false">1/POWER(1+Assumptions!$B$2,AH105)</f>
        <v>0.871284433562695</v>
      </c>
      <c r="AO105" s="0" t="n">
        <f aca="false">IF(ABS(1-AN105)&lt;0.000000000001,AK105,AN105*(1-POWER(AN105,AK105))/(1-AN105))</f>
        <v>1.63042099773136</v>
      </c>
      <c r="AP105" s="1" t="n">
        <f aca="false">AJ105*AM105+Assumptions!$B$28*AO105+(-PV(Assumptions!$B$2,C105,R105+T105+AI105))</f>
        <v>63696.6627984417</v>
      </c>
      <c r="AQ105" s="0" t="n">
        <f aca="false">N105*(1+Assumptions!$B$8)</f>
        <v>27811.6965</v>
      </c>
      <c r="AR105" s="1" t="n">
        <f aca="false">PMT(Assumptions!$B$5,Assumptions!$B$29,-AQ105)</f>
        <v>858.617293089348</v>
      </c>
      <c r="AS105" s="0" t="n">
        <f aca="false">MAX(0,AD105-H105)</f>
        <v>36</v>
      </c>
      <c r="AT105" s="0" t="n">
        <f aca="false">MIN(Assumptions!$B$29,AS105)</f>
        <v>36</v>
      </c>
      <c r="AU105" s="0" t="n">
        <f aca="false">IF(AS105&gt;=Assumptions!$B$29,0,-PV(Assumptions!$B$5,Assumptions!$B$29-AS105,AR105))</f>
        <v>0</v>
      </c>
      <c r="AV105" s="1" t="n">
        <f aca="false">(-PV(Assumptions!$B$3,AT105,AR105))/POWER(1+Assumptions!$B$2,AH105)</f>
        <v>25073.4050479306</v>
      </c>
      <c r="AW105" s="1" t="n">
        <f aca="false">-PV(Assumptions!$B$2,AH105,T105+AI105)</f>
        <v>5318.41766002654</v>
      </c>
      <c r="AX105" s="1" t="n">
        <f aca="false">(-PV(Assumptions!$B$2,C105,S105))-(-PV(Assumptions!$B$2,AH105,S105))</f>
        <v>4175.71854126704</v>
      </c>
      <c r="AY105" s="1" t="n">
        <f aca="false">AJ105+AW105+AX105+(-PV(Assumptions!$B$2,C105,R105))+X105-(W105/POWER(1+Assumptions!$B$2,C105))</f>
        <v>24998.4627430166</v>
      </c>
      <c r="AZ105" s="1" t="n">
        <f aca="false">AY105+AV105+(AU105/POWER(1+Assumptions!$B$2,C105))</f>
        <v>50071.8677909472</v>
      </c>
      <c r="BA105" s="0" t="n">
        <f aca="false">AQ105/POWER(1+Assumptions!$B$2,AH105)</f>
        <v>24231.8982314201</v>
      </c>
      <c r="BB105" s="1" t="n">
        <f aca="false">AY105+BA105</f>
        <v>49230.3609744366</v>
      </c>
      <c r="BC105" s="1" t="n">
        <f aca="false">AJ105+Assumptions!$B$28/POWER(1+Assumptions!$B$2,AH105)+(-PV(Assumptions!$B$2,AH105,R105+T105+AI105))</f>
        <v>33587.746503875</v>
      </c>
      <c r="BD105" s="1" t="n">
        <f aca="false">MIN(Z105,AG105,AZ105)</f>
        <v>49435.4765978193</v>
      </c>
      <c r="BE105" s="0" t="str">
        <f aca="false">IF(BD105=Z105,"Cash",IF(BD105=AG105,"Loan","Lease then buy out"))</f>
        <v>Cash</v>
      </c>
    </row>
    <row r="106" customFormat="false" ht="15" hidden="false" customHeight="false" outlineLevel="0" collapsed="false">
      <c r="A106" s="0" t="s">
        <v>84</v>
      </c>
      <c r="B106" s="0" t="s">
        <v>85</v>
      </c>
      <c r="C106" s="0" t="n">
        <v>6</v>
      </c>
      <c r="D106" s="0" t="n">
        <v>0</v>
      </c>
      <c r="E106" s="0" t="n">
        <v>49687</v>
      </c>
      <c r="F106" s="0" t="n">
        <v>3201</v>
      </c>
      <c r="G106" s="0" t="n">
        <v>701</v>
      </c>
      <c r="H106" s="0" t="n">
        <v>36</v>
      </c>
      <c r="I106" s="0" t="n">
        <v>28</v>
      </c>
      <c r="J106" s="0" t="n">
        <v>18823</v>
      </c>
      <c r="K106" s="0" t="s">
        <v>35</v>
      </c>
      <c r="L106" s="0" t="n">
        <v>153.5</v>
      </c>
      <c r="M106" s="0" t="n">
        <f aca="false">MAX(Assumptions!$B$33,Assumptions!$B$30-Assumptions!$B$31*(H106-36)-IF(D106=1,Assumptions!$B$32,0))</f>
        <v>0.57</v>
      </c>
      <c r="N106" s="0" t="n">
        <f aca="false">E106*M106</f>
        <v>28321.59</v>
      </c>
      <c r="O106" s="0" t="n">
        <f aca="false">1-POWER(J106/E106,0.1)</f>
        <v>0.0925042357189116</v>
      </c>
      <c r="P106" s="0" t="n">
        <f aca="false">E106*(1+Assumptions!$B$8)+Assumptions!$B$9</f>
        <v>52571.35</v>
      </c>
      <c r="Q106" s="0" t="n">
        <f aca="false">IF(D106=1,Assumptions!$B$14*33.7,Assumptions!$B$13)</f>
        <v>3.1</v>
      </c>
      <c r="R106" s="0" t="n">
        <f aca="false">(Assumptions!$B$10/I106)*Q106</f>
        <v>1107.14285714286</v>
      </c>
      <c r="S106" s="0" t="n">
        <f aca="false">Assumptions!$B$15+Assumptions!$B$17</f>
        <v>1750</v>
      </c>
      <c r="T106" s="0" t="n">
        <f aca="false">Assumptions!$B$15*(1+Assumptions!$B$16)+Assumptions!$B$17</f>
        <v>1942</v>
      </c>
      <c r="U106" s="0" t="n">
        <f aca="false">IF(OR(C106&gt;Assumptions!$B$11,Assumptions!$B$10*C106&gt;Assumptions!$B$12),1,0)</f>
        <v>0</v>
      </c>
      <c r="V106" s="0" t="n">
        <f aca="false">MAX(0.6,1-Assumptions!$B$22*MAX(0,(Assumptions!$B$10-10000)*C106)/10000)</f>
        <v>1</v>
      </c>
      <c r="W106" s="0" t="n">
        <f aca="false">IF(U106=1,Assumptions!$B$23,MAX(Assumptions!$B$23,E106*POWER(1-O106,C106)*V106))</f>
        <v>27753.0306708638</v>
      </c>
      <c r="X106" s="0" t="n">
        <f aca="true">SUMPRODUCT((ROW(INDIRECT("1:"&amp;C106))&gt;Assumptions!$B$20)*Assumptions!$B$18*POWER(Assumptions!$B$19,ROW(INDIRECT("1:"&amp;C106))-Assumptions!$B$20-1)*IF(ROW(INDIRECT("1:"&amp;C106))&gt;Assumptions!$B$11,Assumptions!$B$21,1)/POWER(1+Assumptions!$B$2,ROW(INDIRECT("1:"&amp;C106))))</f>
        <v>2475.151938064</v>
      </c>
      <c r="Y106" s="1" t="n">
        <f aca="false">-PV(Assumptions!$B$2,C106,R106+S106)+X106</f>
        <v>17117.3060919445</v>
      </c>
      <c r="Z106" s="1" t="n">
        <f aca="false">P106+Y106-(W106/POWER(1+Assumptions!$B$2,C106))</f>
        <v>48620.3157431974</v>
      </c>
      <c r="AA106" s="0" t="n">
        <f aca="false">P106*Assumptions!$B$7</f>
        <v>5257.135</v>
      </c>
      <c r="AB106" s="0" t="n">
        <f aca="false">P106-AA106</f>
        <v>47314.215</v>
      </c>
      <c r="AC106" s="1" t="n">
        <f aca="false">PMT(Assumptions!$B$5,Assumptions!$B$6,-AB106)</f>
        <v>936.654951805303</v>
      </c>
      <c r="AD106" s="0" t="n">
        <f aca="false">C106*12</f>
        <v>72</v>
      </c>
      <c r="AE106" s="0" t="n">
        <f aca="false">MIN(Assumptions!$B$6,AD106)</f>
        <v>60</v>
      </c>
      <c r="AF106" s="0" t="n">
        <f aca="false">IF(AD106&gt;=Assumptions!$B$6,0,-PV(Assumptions!$B$5,Assumptions!$B$6-AD106,AC106))</f>
        <v>0</v>
      </c>
      <c r="AG106" s="1" t="n">
        <f aca="false">AA106+(-PV(Assumptions!$B$3,AE106,AC106))+Y106-((W106-AF106)/POWER(1+Assumptions!$B$2,C106))</f>
        <v>51303.431629112</v>
      </c>
      <c r="AH106" s="0" t="n">
        <f aca="false">H106/12</f>
        <v>3</v>
      </c>
      <c r="AI106" s="0" t="n">
        <f aca="false">MAX(0,Assumptions!$B$10-Assumptions!$B$24)*Assumptions!$B$25</f>
        <v>0</v>
      </c>
      <c r="AJ106" s="1" t="n">
        <f aca="false">F106+Assumptions!$B$27+(-PV(Assumptions!$B$3,H106-1,G106))</f>
        <v>26786.8210777153</v>
      </c>
      <c r="AK106" s="0" t="n">
        <f aca="false">CEILING(C106/AH106,1)</f>
        <v>2</v>
      </c>
      <c r="AL106" s="0" t="n">
        <f aca="false">(1+Assumptions!$B$26)/POWER(1+Assumptions!$B$2,AH106)</f>
        <v>0.906135810905202</v>
      </c>
      <c r="AM106" s="0" t="n">
        <f aca="false">IF(ABS(1-AL106)&lt;0.000000000001,AK106,(1-POWER(AL106,AK106))/(1-AL106))</f>
        <v>1.9061358109052</v>
      </c>
      <c r="AN106" s="0" t="n">
        <f aca="false">1/POWER(1+Assumptions!$B$2,AH106)</f>
        <v>0.871284433562695</v>
      </c>
      <c r="AO106" s="0" t="n">
        <f aca="false">IF(ABS(1-AN106)&lt;0.000000000001,AK106,AN106*(1-POWER(AN106,AK106))/(1-AN106))</f>
        <v>1.63042099773136</v>
      </c>
      <c r="AP106" s="1" t="n">
        <f aca="false">AJ106*AM106+Assumptions!$B$28*AO106+(-PV(Assumptions!$B$2,C106,R106+T106+AI106))</f>
        <v>67337.5942286572</v>
      </c>
      <c r="AQ106" s="0" t="n">
        <f aca="false">N106*(1+Assumptions!$B$8)</f>
        <v>29737.6695</v>
      </c>
      <c r="AR106" s="1" t="n">
        <f aca="false">PMT(Assumptions!$B$5,Assumptions!$B$29,-AQ106)</f>
        <v>918.076942515019</v>
      </c>
      <c r="AS106" s="0" t="n">
        <f aca="false">MAX(0,AD106-H106)</f>
        <v>36</v>
      </c>
      <c r="AT106" s="0" t="n">
        <f aca="false">MIN(Assumptions!$B$29,AS106)</f>
        <v>36</v>
      </c>
      <c r="AU106" s="0" t="n">
        <f aca="false">IF(AS106&gt;=Assumptions!$B$29,0,-PV(Assumptions!$B$5,Assumptions!$B$29-AS106,AR106))</f>
        <v>0</v>
      </c>
      <c r="AV106" s="1" t="n">
        <f aca="false">(-PV(Assumptions!$B$3,AT106,AR106))/POWER(1+Assumptions!$B$2,AH106)</f>
        <v>26809.7500832066</v>
      </c>
      <c r="AW106" s="1" t="n">
        <f aca="false">-PV(Assumptions!$B$2,AH106,T106+AI106)</f>
        <v>5318.41766002654</v>
      </c>
      <c r="AX106" s="1" t="n">
        <f aca="false">(-PV(Assumptions!$B$2,C106,S106))-(-PV(Assumptions!$B$2,AH106,S106))</f>
        <v>4175.71854126704</v>
      </c>
      <c r="AY106" s="1" t="n">
        <f aca="false">AJ106+AW106+AX106+(-PV(Assumptions!$B$2,C106,R106))+X106-(W106/POWER(1+Assumptions!$B$2,C106))</f>
        <v>23361.6036029544</v>
      </c>
      <c r="AZ106" s="1" t="n">
        <f aca="false">AY106+AV106+(AU106/POWER(1+Assumptions!$B$2,C106))</f>
        <v>50171.353686161</v>
      </c>
      <c r="BA106" s="0" t="n">
        <f aca="false">AQ106/POWER(1+Assumptions!$B$2,AH106)</f>
        <v>25909.9685257821</v>
      </c>
      <c r="BB106" s="1" t="n">
        <f aca="false">AY106+BA106</f>
        <v>49271.5721287365</v>
      </c>
      <c r="BC106" s="1" t="n">
        <f aca="false">AJ106+Assumptions!$B$28/POWER(1+Assumptions!$B$2,AH106)+(-PV(Assumptions!$B$2,AH106,R106+T106+AI106))</f>
        <v>35485.8061278511</v>
      </c>
      <c r="BD106" s="1" t="n">
        <f aca="false">MIN(Z106,AG106,AZ106)</f>
        <v>48620.3157431974</v>
      </c>
      <c r="BE106" s="0" t="str">
        <f aca="false">IF(BD106=Z106,"Cash",IF(BD106=AG106,"Loan","Lease then buy out"))</f>
        <v>Cash</v>
      </c>
    </row>
    <row r="107" customFormat="false" ht="15" hidden="false" customHeight="false" outlineLevel="0" collapsed="false">
      <c r="A107" s="0" t="s">
        <v>86</v>
      </c>
      <c r="B107" s="0" t="s">
        <v>87</v>
      </c>
      <c r="C107" s="0" t="n">
        <v>6</v>
      </c>
      <c r="D107" s="0" t="n">
        <v>0</v>
      </c>
      <c r="E107" s="0" t="n">
        <v>44350</v>
      </c>
      <c r="F107" s="0" t="n">
        <v>5999</v>
      </c>
      <c r="G107" s="0" t="n">
        <v>459</v>
      </c>
      <c r="H107" s="0" t="n">
        <v>36</v>
      </c>
      <c r="I107" s="0" t="n">
        <v>23</v>
      </c>
      <c r="J107" s="0" t="n">
        <v>12298</v>
      </c>
      <c r="K107" s="0" t="s">
        <v>35</v>
      </c>
      <c r="L107" s="0" t="n">
        <v>155.9</v>
      </c>
      <c r="M107" s="0" t="n">
        <f aca="false">MAX(Assumptions!$B$33,Assumptions!$B$30-Assumptions!$B$31*(H107-36)-IF(D107=1,Assumptions!$B$32,0))</f>
        <v>0.57</v>
      </c>
      <c r="N107" s="0" t="n">
        <f aca="false">E107*M107</f>
        <v>25279.5</v>
      </c>
      <c r="O107" s="0" t="n">
        <f aca="false">1-POWER(J107/E107,0.1)</f>
        <v>0.120382043504781</v>
      </c>
      <c r="P107" s="0" t="n">
        <f aca="false">E107*(1+Assumptions!$B$8)+Assumptions!$B$9</f>
        <v>46967.5</v>
      </c>
      <c r="Q107" s="0" t="n">
        <f aca="false">IF(D107=1,Assumptions!$B$14*33.7,Assumptions!$B$13)</f>
        <v>3.1</v>
      </c>
      <c r="R107" s="0" t="n">
        <f aca="false">(Assumptions!$B$10/I107)*Q107</f>
        <v>1347.82608695652</v>
      </c>
      <c r="S107" s="0" t="n">
        <f aca="false">Assumptions!$B$15+Assumptions!$B$17</f>
        <v>1750</v>
      </c>
      <c r="T107" s="0" t="n">
        <f aca="false">Assumptions!$B$15*(1+Assumptions!$B$16)+Assumptions!$B$17</f>
        <v>1942</v>
      </c>
      <c r="U107" s="0" t="n">
        <f aca="false">IF(OR(C107&gt;Assumptions!$B$11,Assumptions!$B$10*C107&gt;Assumptions!$B$12),1,0)</f>
        <v>0</v>
      </c>
      <c r="V107" s="0" t="n">
        <f aca="false">MAX(0.6,1-Assumptions!$B$22*MAX(0,(Assumptions!$B$10-10000)*C107)/10000)</f>
        <v>1</v>
      </c>
      <c r="W107" s="0" t="n">
        <f aca="false">IF(U107=1,Assumptions!$B$23,MAX(Assumptions!$B$23,E107*POWER(1-O107,C107)*V107))</f>
        <v>20542.7292801853</v>
      </c>
      <c r="X107" s="0" t="n">
        <f aca="true">SUMPRODUCT((ROW(INDIRECT("1:"&amp;C107))&gt;Assumptions!$B$20)*Assumptions!$B$18*POWER(Assumptions!$B$19,ROW(INDIRECT("1:"&amp;C107))-Assumptions!$B$20-1)*IF(ROW(INDIRECT("1:"&amp;C107))&gt;Assumptions!$B$11,Assumptions!$B$21,1)/POWER(1+Assumptions!$B$2,ROW(INDIRECT("1:"&amp;C107))))</f>
        <v>2475.151938064</v>
      </c>
      <c r="Y107" s="1" t="n">
        <f aca="false">-PV(Assumptions!$B$2,C107,R107+S107)+X107</f>
        <v>18350.7484255595</v>
      </c>
      <c r="Z107" s="1" t="n">
        <f aca="false">P107+Y107-(W107/POWER(1+Assumptions!$B$2,C107))</f>
        <v>49723.5115011526</v>
      </c>
      <c r="AA107" s="0" t="n">
        <f aca="false">P107*Assumptions!$B$7</f>
        <v>4696.75</v>
      </c>
      <c r="AB107" s="0" t="n">
        <f aca="false">P107-AA107</f>
        <v>42270.75</v>
      </c>
      <c r="AC107" s="1" t="n">
        <f aca="false">PMT(Assumptions!$B$5,Assumptions!$B$6,-AB107)</f>
        <v>836.812093448534</v>
      </c>
      <c r="AD107" s="0" t="n">
        <f aca="false">C107*12</f>
        <v>72</v>
      </c>
      <c r="AE107" s="0" t="n">
        <f aca="false">MIN(Assumptions!$B$6,AD107)</f>
        <v>60</v>
      </c>
      <c r="AF107" s="0" t="n">
        <f aca="false">IF(AD107&gt;=Assumptions!$B$6,0,-PV(Assumptions!$B$5,Assumptions!$B$6-AD107,AC107))</f>
        <v>0</v>
      </c>
      <c r="AG107" s="1" t="n">
        <f aca="false">AA107+(-PV(Assumptions!$B$3,AE107,AC107))+Y107-((W107-AF107)/POWER(1+Assumptions!$B$2,C107))</f>
        <v>52120.6202946627</v>
      </c>
      <c r="AH107" s="0" t="n">
        <f aca="false">H107/12</f>
        <v>3</v>
      </c>
      <c r="AI107" s="0" t="n">
        <f aca="false">MAX(0,Assumptions!$B$10-Assumptions!$B$24)*Assumptions!$B$25</f>
        <v>0</v>
      </c>
      <c r="AJ107" s="1" t="n">
        <f aca="false">F107+Assumptions!$B$27+(-PV(Assumptions!$B$3,H107-1,G107))</f>
        <v>21684.1524603014</v>
      </c>
      <c r="AK107" s="0" t="n">
        <f aca="false">CEILING(C107/AH107,1)</f>
        <v>2</v>
      </c>
      <c r="AL107" s="0" t="n">
        <f aca="false">(1+Assumptions!$B$26)/POWER(1+Assumptions!$B$2,AH107)</f>
        <v>0.906135810905202</v>
      </c>
      <c r="AM107" s="0" t="n">
        <f aca="false">IF(ABS(1-AL107)&lt;0.000000000001,AK107,(1-POWER(AL107,AK107))/(1-AL107))</f>
        <v>1.9061358109052</v>
      </c>
      <c r="AN107" s="0" t="n">
        <f aca="false">1/POWER(1+Assumptions!$B$2,AH107)</f>
        <v>0.871284433562695</v>
      </c>
      <c r="AO107" s="0" t="n">
        <f aca="false">IF(ABS(1-AN107)&lt;0.000000000001,AK107,AN107*(1-POWER(AN107,AK107))/(1-AN107))</f>
        <v>1.63042099773136</v>
      </c>
      <c r="AP107" s="1" t="n">
        <f aca="false">AJ107*AM107+Assumptions!$B$28*AO107+(-PV(Assumptions!$B$2,C107,R107+T107+AI107))</f>
        <v>58844.6571794375</v>
      </c>
      <c r="AQ107" s="0" t="n">
        <f aca="false">N107*(1+Assumptions!$B$8)</f>
        <v>26543.475</v>
      </c>
      <c r="AR107" s="1" t="n">
        <f aca="false">PMT(Assumptions!$B$5,Assumptions!$B$29,-AQ107)</f>
        <v>819.46409323447</v>
      </c>
      <c r="AS107" s="0" t="n">
        <f aca="false">MAX(0,AD107-H107)</f>
        <v>36</v>
      </c>
      <c r="AT107" s="0" t="n">
        <f aca="false">MIN(Assumptions!$B$29,AS107)</f>
        <v>36</v>
      </c>
      <c r="AU107" s="0" t="n">
        <f aca="false">IF(AS107&gt;=Assumptions!$B$29,0,-PV(Assumptions!$B$5,Assumptions!$B$29-AS107,AR107))</f>
        <v>0</v>
      </c>
      <c r="AV107" s="1" t="n">
        <f aca="false">(-PV(Assumptions!$B$3,AT107,AR107))/POWER(1+Assumptions!$B$2,AH107)</f>
        <v>23930.0504395559</v>
      </c>
      <c r="AW107" s="1" t="n">
        <f aca="false">-PV(Assumptions!$B$2,AH107,T107+AI107)</f>
        <v>5318.41766002654</v>
      </c>
      <c r="AX107" s="1" t="n">
        <f aca="false">(-PV(Assumptions!$B$2,C107,S107))-(-PV(Assumptions!$B$2,AH107,S107))</f>
        <v>4175.71854126704</v>
      </c>
      <c r="AY107" s="1" t="n">
        <f aca="false">AJ107+AW107+AX107+(-PV(Assumptions!$B$2,C107,R107))+X107-(W107/POWER(1+Assumptions!$B$2,C107))</f>
        <v>24965.9807434958</v>
      </c>
      <c r="AZ107" s="1" t="n">
        <f aca="false">AY107+AV107+(AU107/POWER(1+Assumptions!$B$2,C107))</f>
        <v>48896.0311830517</v>
      </c>
      <c r="BA107" s="0" t="n">
        <f aca="false">AQ107/POWER(1+Assumptions!$B$2,AH107)</f>
        <v>23126.9165801605</v>
      </c>
      <c r="BB107" s="1" t="n">
        <f aca="false">AY107+BA107</f>
        <v>48092.8973236563</v>
      </c>
      <c r="BC107" s="1" t="n">
        <f aca="false">AJ107+Assumptions!$B$28/POWER(1+Assumptions!$B$2,AH107)+(-PV(Assumptions!$B$2,AH107,R107+T107+AI107))</f>
        <v>31042.2796010208</v>
      </c>
      <c r="BD107" s="1" t="n">
        <f aca="false">MIN(Z107,AG107,AZ107)</f>
        <v>48896.0311830517</v>
      </c>
      <c r="BE107" s="0" t="str">
        <f aca="false">IF(BD107=Z107,"Cash",IF(BD107=AG107,"Loan","Lease then buy out"))</f>
        <v>Lease then buy out</v>
      </c>
    </row>
    <row r="108" customFormat="false" ht="15" hidden="false" customHeight="false" outlineLevel="0" collapsed="false">
      <c r="A108" s="0" t="s">
        <v>86</v>
      </c>
      <c r="B108" s="0" t="s">
        <v>88</v>
      </c>
      <c r="C108" s="0" t="n">
        <v>6</v>
      </c>
      <c r="D108" s="0" t="n">
        <v>0</v>
      </c>
      <c r="E108" s="0" t="n">
        <v>50150</v>
      </c>
      <c r="F108" s="0" t="n">
        <v>5999</v>
      </c>
      <c r="G108" s="0" t="n">
        <v>589</v>
      </c>
      <c r="H108" s="0" t="n">
        <v>36</v>
      </c>
      <c r="I108" s="0" t="n">
        <v>22</v>
      </c>
      <c r="J108" s="0" t="n">
        <v>17669</v>
      </c>
      <c r="K108" s="0" t="s">
        <v>35</v>
      </c>
      <c r="L108" s="0" t="n">
        <v>181.3</v>
      </c>
      <c r="M108" s="0" t="n">
        <f aca="false">MAX(Assumptions!$B$33,Assumptions!$B$30-Assumptions!$B$31*(H108-36)-IF(D108=1,Assumptions!$B$32,0))</f>
        <v>0.57</v>
      </c>
      <c r="N108" s="0" t="n">
        <f aca="false">E108*M108</f>
        <v>28585.5</v>
      </c>
      <c r="O108" s="0" t="n">
        <f aca="false">1-POWER(J108/E108,0.1)</f>
        <v>0.0990636632248162</v>
      </c>
      <c r="P108" s="0" t="n">
        <f aca="false">E108*(1+Assumptions!$B$8)+Assumptions!$B$9</f>
        <v>53057.5</v>
      </c>
      <c r="Q108" s="0" t="n">
        <f aca="false">IF(D108=1,Assumptions!$B$14*33.7,Assumptions!$B$13)</f>
        <v>3.1</v>
      </c>
      <c r="R108" s="0" t="n">
        <f aca="false">(Assumptions!$B$10/I108)*Q108</f>
        <v>1409.09090909091</v>
      </c>
      <c r="S108" s="0" t="n">
        <f aca="false">Assumptions!$B$15+Assumptions!$B$17</f>
        <v>1750</v>
      </c>
      <c r="T108" s="0" t="n">
        <f aca="false">Assumptions!$B$15*(1+Assumptions!$B$16)+Assumptions!$B$17</f>
        <v>1942</v>
      </c>
      <c r="U108" s="0" t="n">
        <f aca="false">IF(OR(C108&gt;Assumptions!$B$11,Assumptions!$B$10*C108&gt;Assumptions!$B$12),1,0)</f>
        <v>0</v>
      </c>
      <c r="V108" s="0" t="n">
        <f aca="false">MAX(0.6,1-Assumptions!$B$22*MAX(0,(Assumptions!$B$10-10000)*C108)/10000)</f>
        <v>1</v>
      </c>
      <c r="W108" s="0" t="n">
        <f aca="false">IF(U108=1,Assumptions!$B$23,MAX(Assumptions!$B$23,E108*POWER(1-O108,C108)*V108))</f>
        <v>26818.5663186398</v>
      </c>
      <c r="X108" s="0" t="n">
        <f aca="true">SUMPRODUCT((ROW(INDIRECT("1:"&amp;C108))&gt;Assumptions!$B$20)*Assumptions!$B$18*POWER(Assumptions!$B$19,ROW(INDIRECT("1:"&amp;C108))-Assumptions!$B$20-1)*IF(ROW(INDIRECT("1:"&amp;C108))&gt;Assumptions!$B$11,Assumptions!$B$21,1)/POWER(1+Assumptions!$B$2,ROW(INDIRECT("1:"&amp;C108))))</f>
        <v>2475.151938064</v>
      </c>
      <c r="Y108" s="1" t="n">
        <f aca="false">-PV(Assumptions!$B$2,C108,R108+S108)+X108</f>
        <v>18664.7155650251</v>
      </c>
      <c r="Z108" s="1" t="n">
        <f aca="false">P108+Y108-(W108/POWER(1+Assumptions!$B$2,C108))</f>
        <v>51363.2612739633</v>
      </c>
      <c r="AA108" s="0" t="n">
        <f aca="false">P108*Assumptions!$B$7</f>
        <v>5305.75</v>
      </c>
      <c r="AB108" s="0" t="n">
        <f aca="false">P108-AA108</f>
        <v>47751.75</v>
      </c>
      <c r="AC108" s="1" t="n">
        <f aca="false">PMT(Assumptions!$B$5,Assumptions!$B$6,-AB108)</f>
        <v>945.316605059788</v>
      </c>
      <c r="AD108" s="0" t="n">
        <f aca="false">C108*12</f>
        <v>72</v>
      </c>
      <c r="AE108" s="0" t="n">
        <f aca="false">MIN(Assumptions!$B$6,AD108)</f>
        <v>60</v>
      </c>
      <c r="AF108" s="0" t="n">
        <f aca="false">IF(AD108&gt;=Assumptions!$B$6,0,-PV(Assumptions!$B$5,Assumptions!$B$6-AD108,AC108))</f>
        <v>0</v>
      </c>
      <c r="AG108" s="1" t="n">
        <f aca="false">AA108+(-PV(Assumptions!$B$3,AE108,AC108))+Y108-((W108-AF108)/POWER(1+Assumptions!$B$2,C108))</f>
        <v>54071.1890923838</v>
      </c>
      <c r="AH108" s="0" t="n">
        <f aca="false">H108/12</f>
        <v>3</v>
      </c>
      <c r="AI108" s="0" t="n">
        <f aca="false">MAX(0,Assumptions!$B$10-Assumptions!$B$24)*Assumptions!$B$25</f>
        <v>0</v>
      </c>
      <c r="AJ108" s="1" t="n">
        <f aca="false">F108+Assumptions!$B$27+(-PV(Assumptions!$B$3,H108-1,G108))</f>
        <v>25928.3132878378</v>
      </c>
      <c r="AK108" s="0" t="n">
        <f aca="false">CEILING(C108/AH108,1)</f>
        <v>2</v>
      </c>
      <c r="AL108" s="0" t="n">
        <f aca="false">(1+Assumptions!$B$26)/POWER(1+Assumptions!$B$2,AH108)</f>
        <v>0.906135810905202</v>
      </c>
      <c r="AM108" s="0" t="n">
        <f aca="false">IF(ABS(1-AL108)&lt;0.000000000001,AK108,(1-POWER(AL108,AK108))/(1-AL108))</f>
        <v>1.9061358109052</v>
      </c>
      <c r="AN108" s="0" t="n">
        <f aca="false">1/POWER(1+Assumptions!$B$2,AH108)</f>
        <v>0.871284433562695</v>
      </c>
      <c r="AO108" s="0" t="n">
        <f aca="false">IF(ABS(1-AN108)&lt;0.000000000001,AK108,AN108*(1-POWER(AN108,AK108))/(1-AN108))</f>
        <v>1.63042099773136</v>
      </c>
      <c r="AP108" s="1" t="n">
        <f aca="false">AJ108*AM108+Assumptions!$B$28*AO108+(-PV(Assumptions!$B$2,C108,R108+T108+AI108))</f>
        <v>67248.5712595112</v>
      </c>
      <c r="AQ108" s="0" t="n">
        <f aca="false">N108*(1+Assumptions!$B$8)</f>
        <v>30014.775</v>
      </c>
      <c r="AR108" s="1" t="n">
        <f aca="false">PMT(Assumptions!$B$5,Assumptions!$B$29,-AQ108)</f>
        <v>926.631888967501</v>
      </c>
      <c r="AS108" s="0" t="n">
        <f aca="false">MAX(0,AD108-H108)</f>
        <v>36</v>
      </c>
      <c r="AT108" s="0" t="n">
        <f aca="false">MIN(Assumptions!$B$29,AS108)</f>
        <v>36</v>
      </c>
      <c r="AU108" s="0" t="n">
        <f aca="false">IF(AS108&gt;=Assumptions!$B$29,0,-PV(Assumptions!$B$5,Assumptions!$B$29-AS108,AR108))</f>
        <v>0</v>
      </c>
      <c r="AV108" s="1" t="n">
        <f aca="false">(-PV(Assumptions!$B$3,AT108,AR108))/POWER(1+Assumptions!$B$2,AH108)</f>
        <v>27059.5722557774</v>
      </c>
      <c r="AW108" s="1" t="n">
        <f aca="false">-PV(Assumptions!$B$2,AH108,T108+AI108)</f>
        <v>5318.41766002654</v>
      </c>
      <c r="AX108" s="1" t="n">
        <f aca="false">(-PV(Assumptions!$B$2,C108,S108))-(-PV(Assumptions!$B$2,AH108,S108))</f>
        <v>4175.71854126704</v>
      </c>
      <c r="AY108" s="1" t="n">
        <f aca="false">AJ108+AW108+AX108+(-PV(Assumptions!$B$2,C108,R108))+X108-(W108/POWER(1+Assumptions!$B$2,C108))</f>
        <v>24759.8913438429</v>
      </c>
      <c r="AZ108" s="1" t="n">
        <f aca="false">AY108+AV108+(AU108/POWER(1+Assumptions!$B$2,C108))</f>
        <v>51819.4635996203</v>
      </c>
      <c r="BA108" s="0" t="n">
        <f aca="false">AQ108/POWER(1+Assumptions!$B$2,AH108)</f>
        <v>26151.4062343867</v>
      </c>
      <c r="BB108" s="1" t="n">
        <f aca="false">AY108+BA108</f>
        <v>50911.2975782296</v>
      </c>
      <c r="BC108" s="1" t="n">
        <f aca="false">AJ108+Assumptions!$B$28/POWER(1+Assumptions!$B$2,AH108)+(-PV(Assumptions!$B$2,AH108,R108+T108+AI108))</f>
        <v>35454.2220516148</v>
      </c>
      <c r="BD108" s="1" t="n">
        <f aca="false">MIN(Z108,AG108,AZ108)</f>
        <v>51363.2612739633</v>
      </c>
      <c r="BE108" s="0" t="str">
        <f aca="false">IF(BD108=Z108,"Cash",IF(BD108=AG108,"Loan","Lease then buy out"))</f>
        <v>Cash</v>
      </c>
    </row>
    <row r="109" customFormat="false" ht="15" hidden="false" customHeight="false" outlineLevel="0" collapsed="false">
      <c r="A109" s="0" t="s">
        <v>89</v>
      </c>
      <c r="B109" s="0" t="s">
        <v>90</v>
      </c>
      <c r="C109" s="0" t="n">
        <v>6</v>
      </c>
      <c r="D109" s="0" t="n">
        <v>0</v>
      </c>
      <c r="E109" s="0" t="n">
        <v>45150</v>
      </c>
      <c r="F109" s="0" t="n">
        <v>4999</v>
      </c>
      <c r="G109" s="0" t="n">
        <v>579</v>
      </c>
      <c r="H109" s="0" t="n">
        <v>36</v>
      </c>
      <c r="I109" s="0" t="n">
        <v>24</v>
      </c>
      <c r="J109" s="0" t="n">
        <v>11614</v>
      </c>
      <c r="K109" s="0" t="s">
        <v>35</v>
      </c>
      <c r="L109" s="0" t="n">
        <v>153.9</v>
      </c>
      <c r="M109" s="0" t="n">
        <f aca="false">MAX(Assumptions!$B$33,Assumptions!$B$30-Assumptions!$B$31*(H109-36)-IF(D109=1,Assumptions!$B$32,0))</f>
        <v>0.57</v>
      </c>
      <c r="N109" s="0" t="n">
        <f aca="false">E109*M109</f>
        <v>25735.5</v>
      </c>
      <c r="O109" s="0" t="n">
        <f aca="false">1-POWER(J109/E109,0.1)</f>
        <v>0.126963488760405</v>
      </c>
      <c r="P109" s="0" t="n">
        <f aca="false">E109*(1+Assumptions!$B$8)+Assumptions!$B$9</f>
        <v>47807.5</v>
      </c>
      <c r="Q109" s="0" t="n">
        <f aca="false">IF(D109=1,Assumptions!$B$14*33.7,Assumptions!$B$13)</f>
        <v>3.1</v>
      </c>
      <c r="R109" s="0" t="n">
        <f aca="false">(Assumptions!$B$10/I109)*Q109</f>
        <v>1291.66666666667</v>
      </c>
      <c r="S109" s="0" t="n">
        <f aca="false">Assumptions!$B$15+Assumptions!$B$17</f>
        <v>1750</v>
      </c>
      <c r="T109" s="0" t="n">
        <f aca="false">Assumptions!$B$15*(1+Assumptions!$B$16)+Assumptions!$B$17</f>
        <v>1942</v>
      </c>
      <c r="U109" s="0" t="n">
        <f aca="false">IF(OR(C109&gt;Assumptions!$B$11,Assumptions!$B$10*C109&gt;Assumptions!$B$12),1,0)</f>
        <v>0</v>
      </c>
      <c r="V109" s="0" t="n">
        <f aca="false">MAX(0.6,1-Assumptions!$B$22*MAX(0,(Assumptions!$B$10-10000)*C109)/10000)</f>
        <v>1</v>
      </c>
      <c r="W109" s="0" t="n">
        <f aca="false">IF(U109=1,Assumptions!$B$23,MAX(Assumptions!$B$23,E109*POWER(1-O109,C109)*V109))</f>
        <v>19991.8136470891</v>
      </c>
      <c r="X109" s="0" t="n">
        <f aca="true">SUMPRODUCT((ROW(INDIRECT("1:"&amp;C109))&gt;Assumptions!$B$20)*Assumptions!$B$18*POWER(Assumptions!$B$19,ROW(INDIRECT("1:"&amp;C109))-Assumptions!$B$20-1)*IF(ROW(INDIRECT("1:"&amp;C109))&gt;Assumptions!$B$11,Assumptions!$B$21,1)/POWER(1+Assumptions!$B$2,ROW(INDIRECT("1:"&amp;C109))))</f>
        <v>2475.151938064</v>
      </c>
      <c r="Y109" s="1" t="n">
        <f aca="false">-PV(Assumptions!$B$2,C109,R109+S109)+X109</f>
        <v>18062.9452143826</v>
      </c>
      <c r="Z109" s="1" t="n">
        <f aca="false">P109+Y109-(W109/POWER(1+Assumptions!$B$2,C109))</f>
        <v>50693.9284908312</v>
      </c>
      <c r="AA109" s="0" t="n">
        <f aca="false">P109*Assumptions!$B$7</f>
        <v>4780.75</v>
      </c>
      <c r="AB109" s="0" t="n">
        <f aca="false">P109-AA109</f>
        <v>43026.75</v>
      </c>
      <c r="AC109" s="1" t="n">
        <f aca="false">PMT(Assumptions!$B$5,Assumptions!$B$6,-AB109)</f>
        <v>851.778232981121</v>
      </c>
      <c r="AD109" s="0" t="n">
        <f aca="false">C109*12</f>
        <v>72</v>
      </c>
      <c r="AE109" s="0" t="n">
        <f aca="false">MIN(Assumptions!$B$6,AD109)</f>
        <v>60</v>
      </c>
      <c r="AF109" s="0" t="n">
        <f aca="false">IF(AD109&gt;=Assumptions!$B$6,0,-PV(Assumptions!$B$5,Assumptions!$B$6-AD109,AC109))</f>
        <v>0</v>
      </c>
      <c r="AG109" s="1" t="n">
        <f aca="false">AA109+(-PV(Assumptions!$B$3,AE109,AC109))+Y109-((W109-AF109)/POWER(1+Assumptions!$B$2,C109))</f>
        <v>53133.9088739841</v>
      </c>
      <c r="AH109" s="0" t="n">
        <f aca="false">H109/12</f>
        <v>3</v>
      </c>
      <c r="AI109" s="0" t="n">
        <f aca="false">MAX(0,Assumptions!$B$10-Assumptions!$B$24)*Assumptions!$B$25</f>
        <v>0</v>
      </c>
      <c r="AJ109" s="1" t="n">
        <f aca="false">F109+Assumptions!$B$27+(-PV(Assumptions!$B$3,H109-1,G109))</f>
        <v>24601.8393780273</v>
      </c>
      <c r="AK109" s="0" t="n">
        <f aca="false">CEILING(C109/AH109,1)</f>
        <v>2</v>
      </c>
      <c r="AL109" s="0" t="n">
        <f aca="false">(1+Assumptions!$B$26)/POWER(1+Assumptions!$B$2,AH109)</f>
        <v>0.906135810905202</v>
      </c>
      <c r="AM109" s="0" t="n">
        <f aca="false">IF(ABS(1-AL109)&lt;0.000000000001,AK109,(1-POWER(AL109,AK109))/(1-AL109))</f>
        <v>1.9061358109052</v>
      </c>
      <c r="AN109" s="0" t="n">
        <f aca="false">1/POWER(1+Assumptions!$B$2,AH109)</f>
        <v>0.871284433562695</v>
      </c>
      <c r="AO109" s="0" t="n">
        <f aca="false">IF(ABS(1-AN109)&lt;0.000000000001,AK109,AN109*(1-POWER(AN109,AK109))/(1-AN109))</f>
        <v>1.63042099773136</v>
      </c>
      <c r="AP109" s="1" t="n">
        <f aca="false">AJ109*AM109+Assumptions!$B$28*AO109+(-PV(Assumptions!$B$2,C109,R109+T109+AI109))</f>
        <v>64118.3614871476</v>
      </c>
      <c r="AQ109" s="0" t="n">
        <f aca="false">N109*(1+Assumptions!$B$8)</f>
        <v>27022.275</v>
      </c>
      <c r="AR109" s="1" t="n">
        <f aca="false">PMT(Assumptions!$B$5,Assumptions!$B$29,-AQ109)</f>
        <v>834.245858163164</v>
      </c>
      <c r="AS109" s="0" t="n">
        <f aca="false">MAX(0,AD109-H109)</f>
        <v>36</v>
      </c>
      <c r="AT109" s="0" t="n">
        <f aca="false">MIN(Assumptions!$B$29,AS109)</f>
        <v>36</v>
      </c>
      <c r="AU109" s="0" t="n">
        <f aca="false">IF(AS109&gt;=Assumptions!$B$29,0,-PV(Assumptions!$B$5,Assumptions!$B$29-AS109,AR109))</f>
        <v>0</v>
      </c>
      <c r="AV109" s="1" t="n">
        <f aca="false">(-PV(Assumptions!$B$3,AT109,AR109))/POWER(1+Assumptions!$B$2,AH109)</f>
        <v>24361.7086211037</v>
      </c>
      <c r="AW109" s="1" t="n">
        <f aca="false">-PV(Assumptions!$B$2,AH109,T109+AI109)</f>
        <v>5318.41766002654</v>
      </c>
      <c r="AX109" s="1" t="n">
        <f aca="false">(-PV(Assumptions!$B$2,C109,S109))-(-PV(Assumptions!$B$2,AH109,S109))</f>
        <v>4175.71854126704</v>
      </c>
      <c r="AY109" s="1" t="n">
        <f aca="false">AJ109+AW109+AX109+(-PV(Assumptions!$B$2,C109,R109))+X109-(W109/POWER(1+Assumptions!$B$2,C109))</f>
        <v>28014.0846509002</v>
      </c>
      <c r="AZ109" s="1" t="n">
        <f aca="false">AY109+AV109+(AU109/POWER(1+Assumptions!$B$2,C109))</f>
        <v>52375.7932720039</v>
      </c>
      <c r="BA109" s="0" t="n">
        <f aca="false">AQ109/POWER(1+Assumptions!$B$2,AH109)</f>
        <v>23544.0875669504</v>
      </c>
      <c r="BB109" s="1" t="n">
        <f aca="false">AY109+BA109</f>
        <v>51558.1722178506</v>
      </c>
      <c r="BC109" s="1" t="n">
        <f aca="false">AJ109+Assumptions!$B$28/POWER(1+Assumptions!$B$2,AH109)+(-PV(Assumptions!$B$2,AH109,R109+T109+AI109))</f>
        <v>33806.1666976105</v>
      </c>
      <c r="BD109" s="1" t="n">
        <f aca="false">MIN(Z109,AG109,AZ109)</f>
        <v>50693.9284908312</v>
      </c>
      <c r="BE109" s="0" t="str">
        <f aca="false">IF(BD109=Z109,"Cash",IF(BD109=AG109,"Loan","Lease then buy out"))</f>
        <v>Cash</v>
      </c>
    </row>
    <row r="110" customFormat="false" ht="15" hidden="false" customHeight="false" outlineLevel="0" collapsed="false">
      <c r="A110" s="0" t="s">
        <v>58</v>
      </c>
      <c r="B110" s="0" t="s">
        <v>91</v>
      </c>
      <c r="C110" s="0" t="n">
        <v>6</v>
      </c>
      <c r="D110" s="0" t="n">
        <v>0</v>
      </c>
      <c r="E110" s="0" t="n">
        <v>50244</v>
      </c>
      <c r="F110" s="0" t="n">
        <v>3045</v>
      </c>
      <c r="G110" s="0" t="n">
        <v>545</v>
      </c>
      <c r="H110" s="0" t="n">
        <v>36</v>
      </c>
      <c r="I110" s="0" t="n">
        <v>17</v>
      </c>
      <c r="J110" s="0" t="n">
        <v>21917</v>
      </c>
      <c r="K110" s="0" t="s">
        <v>35</v>
      </c>
      <c r="L110" s="0" t="n">
        <v>186.7</v>
      </c>
      <c r="M110" s="0" t="n">
        <f aca="false">MAX(Assumptions!$B$33,Assumptions!$B$30-Assumptions!$B$31*(H110-36)-IF(D110=1,Assumptions!$B$32,0))</f>
        <v>0.57</v>
      </c>
      <c r="N110" s="0" t="n">
        <f aca="false">E110*M110</f>
        <v>28639.08</v>
      </c>
      <c r="O110" s="0" t="n">
        <f aca="false">1-POWER(J110/E110,0.1)</f>
        <v>0.0796146652805391</v>
      </c>
      <c r="P110" s="0" t="n">
        <f aca="false">E110*(1+Assumptions!$B$8)+Assumptions!$B$9</f>
        <v>53156.2</v>
      </c>
      <c r="Q110" s="0" t="n">
        <f aca="false">IF(D110=1,Assumptions!$B$14*33.7,Assumptions!$B$13)</f>
        <v>3.1</v>
      </c>
      <c r="R110" s="0" t="n">
        <f aca="false">(Assumptions!$B$10/I110)*Q110</f>
        <v>1823.52941176471</v>
      </c>
      <c r="S110" s="0" t="n">
        <f aca="false">Assumptions!$B$15+Assumptions!$B$17</f>
        <v>1750</v>
      </c>
      <c r="T110" s="0" t="n">
        <f aca="false">Assumptions!$B$15*(1+Assumptions!$B$16)+Assumptions!$B$17</f>
        <v>1942</v>
      </c>
      <c r="U110" s="0" t="n">
        <f aca="false">IF(OR(C110&gt;Assumptions!$B$11,Assumptions!$B$10*C110&gt;Assumptions!$B$12),1,0)</f>
        <v>0</v>
      </c>
      <c r="V110" s="0" t="n">
        <f aca="false">MAX(0.6,1-Assumptions!$B$22*MAX(0,(Assumptions!$B$10-10000)*C110)/10000)</f>
        <v>1</v>
      </c>
      <c r="W110" s="0" t="n">
        <f aca="false">IF(U110=1,Assumptions!$B$23,MAX(Assumptions!$B$23,E110*POWER(1-O110,C110)*V110))</f>
        <v>30542.3428065157</v>
      </c>
      <c r="X110" s="0" t="n">
        <f aca="true">SUMPRODUCT((ROW(INDIRECT("1:"&amp;C110))&gt;Assumptions!$B$20)*Assumptions!$B$18*POWER(Assumptions!$B$19,ROW(INDIRECT("1:"&amp;C110))-Assumptions!$B$20-1)*IF(ROW(INDIRECT("1:"&amp;C110))&gt;Assumptions!$B$11,Assumptions!$B$21,1)/POWER(1+Assumptions!$B$2,ROW(INDIRECT("1:"&amp;C110))))</f>
        <v>2475.151938064</v>
      </c>
      <c r="Y110" s="1" t="n">
        <f aca="false">-PV(Assumptions!$B$2,C110,R110+S110)+X110</f>
        <v>20788.6109202337</v>
      </c>
      <c r="Z110" s="1" t="n">
        <f aca="false">P110+Y110-(W110/POWER(1+Assumptions!$B$2,C110))</f>
        <v>50759.0017404338</v>
      </c>
      <c r="AA110" s="0" t="n">
        <f aca="false">P110*Assumptions!$B$7</f>
        <v>5315.62</v>
      </c>
      <c r="AB110" s="0" t="n">
        <f aca="false">P110-AA110</f>
        <v>47840.58</v>
      </c>
      <c r="AC110" s="1" t="n">
        <f aca="false">PMT(Assumptions!$B$5,Assumptions!$B$6,-AB110)</f>
        <v>947.075126454867</v>
      </c>
      <c r="AD110" s="0" t="n">
        <f aca="false">C110*12</f>
        <v>72</v>
      </c>
      <c r="AE110" s="0" t="n">
        <f aca="false">MIN(Assumptions!$B$6,AD110)</f>
        <v>60</v>
      </c>
      <c r="AF110" s="0" t="n">
        <f aca="false">IF(AD110&gt;=Assumptions!$B$6,0,-PV(Assumptions!$B$5,Assumptions!$B$6-AD110,AC110))</f>
        <v>0</v>
      </c>
      <c r="AG110" s="1" t="n">
        <f aca="false">AA110+(-PV(Assumptions!$B$3,AE110,AC110))+Y110-((W110-AF110)/POWER(1+Assumptions!$B$2,C110))</f>
        <v>53471.9669706373</v>
      </c>
      <c r="AH110" s="0" t="n">
        <f aca="false">H110/12</f>
        <v>3</v>
      </c>
      <c r="AI110" s="0" t="n">
        <f aca="false">MAX(0,Assumptions!$B$10-Assumptions!$B$24)*Assumptions!$B$25</f>
        <v>0</v>
      </c>
      <c r="AJ110" s="1" t="n">
        <f aca="false">F110+Assumptions!$B$27+(-PV(Assumptions!$B$3,H110-1,G110))</f>
        <v>21537.8280846716</v>
      </c>
      <c r="AK110" s="0" t="n">
        <f aca="false">CEILING(C110/AH110,1)</f>
        <v>2</v>
      </c>
      <c r="AL110" s="0" t="n">
        <f aca="false">(1+Assumptions!$B$26)/POWER(1+Assumptions!$B$2,AH110)</f>
        <v>0.906135810905202</v>
      </c>
      <c r="AM110" s="0" t="n">
        <f aca="false">IF(ABS(1-AL110)&lt;0.000000000001,AK110,(1-POWER(AL110,AK110))/(1-AL110))</f>
        <v>1.9061358109052</v>
      </c>
      <c r="AN110" s="0" t="n">
        <f aca="false">1/POWER(1+Assumptions!$B$2,AH110)</f>
        <v>0.871284433562695</v>
      </c>
      <c r="AO110" s="0" t="n">
        <f aca="false">IF(ABS(1-AN110)&lt;0.000000000001,AK110,AN110*(1-POWER(AN110,AK110))/(1-AN110))</f>
        <v>1.63042099773136</v>
      </c>
      <c r="AP110" s="1" t="n">
        <f aca="false">AJ110*AM110+Assumptions!$B$28*AO110+(-PV(Assumptions!$B$2,C110,R110+T110+AI110))</f>
        <v>61003.6055417154</v>
      </c>
      <c r="AQ110" s="0" t="n">
        <f aca="false">N110*(1+Assumptions!$B$8)</f>
        <v>30071.034</v>
      </c>
      <c r="AR110" s="1" t="n">
        <f aca="false">PMT(Assumptions!$B$5,Assumptions!$B$29,-AQ110)</f>
        <v>928.368746346622</v>
      </c>
      <c r="AS110" s="0" t="n">
        <f aca="false">MAX(0,AD110-H110)</f>
        <v>36</v>
      </c>
      <c r="AT110" s="0" t="n">
        <f aca="false">MIN(Assumptions!$B$29,AS110)</f>
        <v>36</v>
      </c>
      <c r="AU110" s="0" t="n">
        <f aca="false">IF(AS110&gt;=Assumptions!$B$29,0,-PV(Assumptions!$B$5,Assumptions!$B$29-AS110,AR110))</f>
        <v>0</v>
      </c>
      <c r="AV110" s="1" t="n">
        <f aca="false">(-PV(Assumptions!$B$3,AT110,AR110))/POWER(1+Assumptions!$B$2,AH110)</f>
        <v>27110.2920921093</v>
      </c>
      <c r="AW110" s="1" t="n">
        <f aca="false">-PV(Assumptions!$B$2,AH110,T110+AI110)</f>
        <v>5318.41766002654</v>
      </c>
      <c r="AX110" s="1" t="n">
        <f aca="false">(-PV(Assumptions!$B$2,C110,S110))-(-PV(Assumptions!$B$2,AH110,S110))</f>
        <v>4175.71854126704</v>
      </c>
      <c r="AY110" s="1" t="n">
        <f aca="false">AJ110+AW110+AX110+(-PV(Assumptions!$B$2,C110,R110))+X110-(W110/POWER(1+Assumptions!$B$2,C110))</f>
        <v>19666.4466071472</v>
      </c>
      <c r="AZ110" s="1" t="n">
        <f aca="false">AY110+AV110+(AU110/POWER(1+Assumptions!$B$2,C110))</f>
        <v>46776.7386992564</v>
      </c>
      <c r="BA110" s="0" t="n">
        <f aca="false">AQ110/POWER(1+Assumptions!$B$2,AH110)</f>
        <v>26200.4238253345</v>
      </c>
      <c r="BB110" s="1" t="n">
        <f aca="false">AY110+BA110</f>
        <v>45866.8704324817</v>
      </c>
      <c r="BC110" s="1" t="n">
        <f aca="false">AJ110+Assumptions!$B$28/POWER(1+Assumptions!$B$2,AH110)+(-PV(Assumptions!$B$2,AH110,R110+T110+AI110))</f>
        <v>32198.7301808973</v>
      </c>
      <c r="BD110" s="1" t="n">
        <f aca="false">MIN(Z110,AG110,AZ110)</f>
        <v>46776.7386992564</v>
      </c>
      <c r="BE110" s="0" t="str">
        <f aca="false">IF(BD110=Z110,"Cash",IF(BD110=AG110,"Loan","Lease then buy out"))</f>
        <v>Lease then buy out</v>
      </c>
    </row>
    <row r="111" customFormat="false" ht="15" hidden="false" customHeight="false" outlineLevel="0" collapsed="false">
      <c r="A111" s="0" t="s">
        <v>92</v>
      </c>
      <c r="B111" s="0" t="s">
        <v>93</v>
      </c>
      <c r="C111" s="0" t="n">
        <v>6</v>
      </c>
      <c r="D111" s="0" t="n">
        <v>0</v>
      </c>
      <c r="E111" s="0" t="n">
        <v>48195</v>
      </c>
      <c r="F111" s="0" t="n">
        <v>2933</v>
      </c>
      <c r="G111" s="0" t="n">
        <v>918</v>
      </c>
      <c r="H111" s="0" t="n">
        <v>36</v>
      </c>
      <c r="I111" s="0" t="n">
        <v>19</v>
      </c>
      <c r="J111" s="0" t="n">
        <v>21217</v>
      </c>
      <c r="K111" s="0" t="s">
        <v>35</v>
      </c>
      <c r="L111" s="0" t="n">
        <v>149.7</v>
      </c>
      <c r="M111" s="0" t="n">
        <f aca="false">MAX(Assumptions!$B$33,Assumptions!$B$30-Assumptions!$B$31*(H111-36)-IF(D111=1,Assumptions!$B$32,0))</f>
        <v>0.57</v>
      </c>
      <c r="N111" s="0" t="n">
        <f aca="false">E111*M111</f>
        <v>27471.15</v>
      </c>
      <c r="O111" s="0" t="n">
        <f aca="false">1-POWER(J111/E111,0.1)</f>
        <v>0.0787697310584671</v>
      </c>
      <c r="P111" s="0" t="n">
        <f aca="false">E111*(1+Assumptions!$B$8)+Assumptions!$B$9</f>
        <v>51004.75</v>
      </c>
      <c r="Q111" s="0" t="n">
        <f aca="false">IF(D111=1,Assumptions!$B$14*33.7,Assumptions!$B$13)</f>
        <v>3.1</v>
      </c>
      <c r="R111" s="0" t="n">
        <f aca="false">(Assumptions!$B$10/I111)*Q111</f>
        <v>1631.57894736842</v>
      </c>
      <c r="S111" s="0" t="n">
        <f aca="false">Assumptions!$B$15+Assumptions!$B$17</f>
        <v>1750</v>
      </c>
      <c r="T111" s="0" t="n">
        <f aca="false">Assumptions!$B$15*(1+Assumptions!$B$16)+Assumptions!$B$17</f>
        <v>1942</v>
      </c>
      <c r="U111" s="0" t="n">
        <f aca="false">IF(OR(C111&gt;Assumptions!$B$11,Assumptions!$B$10*C111&gt;Assumptions!$B$12),1,0)</f>
        <v>0</v>
      </c>
      <c r="V111" s="0" t="n">
        <f aca="false">MAX(0.6,1-Assumptions!$B$22*MAX(0,(Assumptions!$B$10-10000)*C111)/10000)</f>
        <v>1</v>
      </c>
      <c r="W111" s="0" t="n">
        <f aca="false">IF(U111=1,Assumptions!$B$23,MAX(Assumptions!$B$23,E111*POWER(1-O111,C111)*V111))</f>
        <v>29458.5373396065</v>
      </c>
      <c r="X111" s="0" t="n">
        <f aca="true">SUMPRODUCT((ROW(INDIRECT("1:"&amp;C111))&gt;Assumptions!$B$20)*Assumptions!$B$18*POWER(Assumptions!$B$19,ROW(INDIRECT("1:"&amp;C111))-Assumptions!$B$20-1)*IF(ROW(INDIRECT("1:"&amp;C111))&gt;Assumptions!$B$11,Assumptions!$B$21,1)/POWER(1+Assumptions!$B$2,ROW(INDIRECT("1:"&amp;C111))))</f>
        <v>2475.151938064</v>
      </c>
      <c r="Y111" s="1" t="n">
        <f aca="false">-PV(Assumptions!$B$2,C111,R111+S111)+X111</f>
        <v>19804.9120188739</v>
      </c>
      <c r="Z111" s="1" t="n">
        <f aca="false">P111+Y111-(W111/POWER(1+Assumptions!$B$2,C111))</f>
        <v>48446.6091974507</v>
      </c>
      <c r="AA111" s="0" t="n">
        <f aca="false">P111*Assumptions!$B$7</f>
        <v>5100.475</v>
      </c>
      <c r="AB111" s="0" t="n">
        <f aca="false">P111-AA111</f>
        <v>45904.275</v>
      </c>
      <c r="AC111" s="1" t="n">
        <f aca="false">PMT(Assumptions!$B$5,Assumptions!$B$6,-AB111)</f>
        <v>908.743101577029</v>
      </c>
      <c r="AD111" s="0" t="n">
        <f aca="false">C111*12</f>
        <v>72</v>
      </c>
      <c r="AE111" s="0" t="n">
        <f aca="false">MIN(Assumptions!$B$6,AD111)</f>
        <v>60</v>
      </c>
      <c r="AF111" s="0" t="n">
        <f aca="false">IF(AD111&gt;=Assumptions!$B$6,0,-PV(Assumptions!$B$5,Assumptions!$B$6-AD111,AC111))</f>
        <v>0</v>
      </c>
      <c r="AG111" s="1" t="n">
        <f aca="false">AA111+(-PV(Assumptions!$B$3,AE111,AC111))+Y111-((W111-AF111)/POWER(1+Assumptions!$B$2,C111))</f>
        <v>51049.7695686815</v>
      </c>
      <c r="AH111" s="0" t="n">
        <f aca="false">H111/12</f>
        <v>3</v>
      </c>
      <c r="AI111" s="0" t="n">
        <f aca="false">MAX(0,Assumptions!$B$10-Assumptions!$B$24)*Assumptions!$B$25</f>
        <v>0</v>
      </c>
      <c r="AJ111" s="1" t="n">
        <f aca="false">F111+Assumptions!$B$27+(-PV(Assumptions!$B$3,H111-1,G111))</f>
        <v>33603.3049206029</v>
      </c>
      <c r="AK111" s="0" t="n">
        <f aca="false">CEILING(C111/AH111,1)</f>
        <v>2</v>
      </c>
      <c r="AL111" s="0" t="n">
        <f aca="false">(1+Assumptions!$B$26)/POWER(1+Assumptions!$B$2,AH111)</f>
        <v>0.906135810905202</v>
      </c>
      <c r="AM111" s="0" t="n">
        <f aca="false">IF(ABS(1-AL111)&lt;0.000000000001,AK111,(1-POWER(AL111,AK111))/(1-AL111))</f>
        <v>1.9061358109052</v>
      </c>
      <c r="AN111" s="0" t="n">
        <f aca="false">1/POWER(1+Assumptions!$B$2,AH111)</f>
        <v>0.871284433562695</v>
      </c>
      <c r="AO111" s="0" t="n">
        <f aca="false">IF(ABS(1-AN111)&lt;0.000000000001,AK111,AN111*(1-POWER(AN111,AK111))/(1-AN111))</f>
        <v>1.63042099773136</v>
      </c>
      <c r="AP111" s="1" t="n">
        <f aca="false">AJ111*AM111+Assumptions!$B$28*AO111+(-PV(Assumptions!$B$2,C111,R111+T111+AI111))</f>
        <v>83018.3441129714</v>
      </c>
      <c r="AQ111" s="0" t="n">
        <f aca="false">N111*(1+Assumptions!$B$8)</f>
        <v>28844.7075</v>
      </c>
      <c r="AR111" s="1" t="n">
        <f aca="false">PMT(Assumptions!$B$5,Assumptions!$B$29,-AQ111)</f>
        <v>890.508950923005</v>
      </c>
      <c r="AS111" s="0" t="n">
        <f aca="false">MAX(0,AD111-H111)</f>
        <v>36</v>
      </c>
      <c r="AT111" s="0" t="n">
        <f aca="false">MIN(Assumptions!$B$29,AS111)</f>
        <v>36</v>
      </c>
      <c r="AU111" s="0" t="n">
        <f aca="false">IF(AS111&gt;=Assumptions!$B$29,0,-PV(Assumptions!$B$5,Assumptions!$B$29-AS111,AR111))</f>
        <v>0</v>
      </c>
      <c r="AV111" s="1" t="n">
        <f aca="false">(-PV(Assumptions!$B$3,AT111,AR111))/POWER(1+Assumptions!$B$2,AH111)</f>
        <v>26004.70757462</v>
      </c>
      <c r="AW111" s="1" t="n">
        <f aca="false">-PV(Assumptions!$B$2,AH111,T111+AI111)</f>
        <v>5318.41766002654</v>
      </c>
      <c r="AX111" s="1" t="n">
        <f aca="false">(-PV(Assumptions!$B$2,C111,S111))-(-PV(Assumptions!$B$2,AH111,S111))</f>
        <v>4175.71854126704</v>
      </c>
      <c r="AY111" s="1" t="n">
        <f aca="false">AJ111+AW111+AX111+(-PV(Assumptions!$B$2,C111,R111))+X111-(W111/POWER(1+Assumptions!$B$2,C111))</f>
        <v>31570.9809000953</v>
      </c>
      <c r="AZ111" s="1" t="n">
        <f aca="false">AY111+AV111+(AU111/POWER(1+Assumptions!$B$2,C111))</f>
        <v>57575.6884747153</v>
      </c>
      <c r="BA111" s="0" t="n">
        <f aca="false">AQ111/POWER(1+Assumptions!$B$2,AH111)</f>
        <v>25131.9446354191</v>
      </c>
      <c r="BB111" s="1" t="n">
        <f aca="false">AY111+BA111</f>
        <v>56702.9255355144</v>
      </c>
      <c r="BC111" s="1" t="n">
        <f aca="false">AJ111+Assumptions!$B$28/POWER(1+Assumptions!$B$2,AH111)+(-PV(Assumptions!$B$2,AH111,R111+T111+AI111))</f>
        <v>43738.5258944313</v>
      </c>
      <c r="BD111" s="1" t="n">
        <f aca="false">MIN(Z111,AG111,AZ111)</f>
        <v>48446.6091974507</v>
      </c>
      <c r="BE111" s="0" t="str">
        <f aca="false">IF(BD111=Z111,"Cash",IF(BD111=AG111,"Loan","Lease then buy out"))</f>
        <v>Cash</v>
      </c>
    </row>
    <row r="112" customFormat="false" ht="15" hidden="false" customHeight="false" outlineLevel="0" collapsed="false">
      <c r="A112" s="0" t="s">
        <v>78</v>
      </c>
      <c r="B112" s="0" t="s">
        <v>94</v>
      </c>
      <c r="C112" s="0" t="n">
        <v>6</v>
      </c>
      <c r="D112" s="0" t="n">
        <v>0</v>
      </c>
      <c r="E112" s="0" t="n">
        <v>53913</v>
      </c>
      <c r="F112" s="0" t="n">
        <v>5612</v>
      </c>
      <c r="G112" s="0" t="n">
        <v>612</v>
      </c>
      <c r="H112" s="0" t="n">
        <v>36</v>
      </c>
      <c r="I112" s="0" t="n">
        <v>25</v>
      </c>
      <c r="J112" s="0" t="n">
        <v>24748</v>
      </c>
      <c r="K112" s="0" t="s">
        <v>35</v>
      </c>
      <c r="L112" s="0" t="n">
        <v>143.2</v>
      </c>
      <c r="M112" s="0" t="n">
        <f aca="false">MAX(Assumptions!$B$33,Assumptions!$B$30-Assumptions!$B$31*(H112-36)-IF(D112=1,Assumptions!$B$32,0))</f>
        <v>0.57</v>
      </c>
      <c r="N112" s="0" t="n">
        <f aca="false">E112*M112</f>
        <v>30730.41</v>
      </c>
      <c r="O112" s="0" t="n">
        <f aca="false">1-POWER(J112/E112,0.1)</f>
        <v>0.0749085632873378</v>
      </c>
      <c r="P112" s="0" t="n">
        <f aca="false">E112*(1+Assumptions!$B$8)+Assumptions!$B$9</f>
        <v>57008.65</v>
      </c>
      <c r="Q112" s="0" t="n">
        <f aca="false">IF(D112=1,Assumptions!$B$14*33.7,Assumptions!$B$13)</f>
        <v>3.1</v>
      </c>
      <c r="R112" s="0" t="n">
        <f aca="false">(Assumptions!$B$10/I112)*Q112</f>
        <v>1240</v>
      </c>
      <c r="S112" s="0" t="n">
        <f aca="false">Assumptions!$B$15+Assumptions!$B$17</f>
        <v>1750</v>
      </c>
      <c r="T112" s="0" t="n">
        <f aca="false">Assumptions!$B$15*(1+Assumptions!$B$16)+Assumptions!$B$17</f>
        <v>1942</v>
      </c>
      <c r="U112" s="0" t="n">
        <f aca="false">IF(OR(C112&gt;Assumptions!$B$11,Assumptions!$B$10*C112&gt;Assumptions!$B$12),1,0)</f>
        <v>0</v>
      </c>
      <c r="V112" s="0" t="n">
        <f aca="false">MAX(0.6,1-Assumptions!$B$22*MAX(0,(Assumptions!$B$10-10000)*C112)/10000)</f>
        <v>1</v>
      </c>
      <c r="W112" s="0" t="n">
        <f aca="false">IF(U112=1,Assumptions!$B$23,MAX(Assumptions!$B$23,E112*POWER(1-O112,C112)*V112))</f>
        <v>33791.0326504193</v>
      </c>
      <c r="X112" s="0" t="n">
        <f aca="true">SUMPRODUCT((ROW(INDIRECT("1:"&amp;C112))&gt;Assumptions!$B$20)*Assumptions!$B$18*POWER(Assumptions!$B$19,ROW(INDIRECT("1:"&amp;C112))-Assumptions!$B$20-1)*IF(ROW(INDIRECT("1:"&amp;C112))&gt;Assumptions!$B$11,Assumptions!$B$21,1)/POWER(1+Assumptions!$B$2,ROW(INDIRECT("1:"&amp;C112))))</f>
        <v>2475.151938064</v>
      </c>
      <c r="Y112" s="1" t="n">
        <f aca="false">-PV(Assumptions!$B$2,C112,R112+S112)+X112</f>
        <v>17798.1662601</v>
      </c>
      <c r="Z112" s="1" t="n">
        <f aca="false">P112+Y112-(W112/POWER(1+Assumptions!$B$2,C112))</f>
        <v>49154.8078341495</v>
      </c>
      <c r="AA112" s="0" t="n">
        <f aca="false">P112*Assumptions!$B$7</f>
        <v>5700.865</v>
      </c>
      <c r="AB112" s="0" t="n">
        <f aca="false">P112-AA112</f>
        <v>51307.785</v>
      </c>
      <c r="AC112" s="1" t="n">
        <f aca="false">PMT(Assumptions!$B$5,Assumptions!$B$6,-AB112)</f>
        <v>1015.71358388619</v>
      </c>
      <c r="AD112" s="0" t="n">
        <f aca="false">C112*12</f>
        <v>72</v>
      </c>
      <c r="AE112" s="0" t="n">
        <f aca="false">MIN(Assumptions!$B$6,AD112)</f>
        <v>60</v>
      </c>
      <c r="AF112" s="0" t="n">
        <f aca="false">IF(AD112&gt;=Assumptions!$B$6,0,-PV(Assumptions!$B$5,Assumptions!$B$6-AD112,AC112))</f>
        <v>0</v>
      </c>
      <c r="AG112" s="1" t="n">
        <f aca="false">AA112+(-PV(Assumptions!$B$3,AE112,AC112))+Y112-((W112-AF112)/POWER(1+Assumptions!$B$2,C112))</f>
        <v>52064.3928923523</v>
      </c>
      <c r="AH112" s="0" t="n">
        <f aca="false">H112/12</f>
        <v>3</v>
      </c>
      <c r="AI112" s="0" t="n">
        <f aca="false">MAX(0,Assumptions!$B$10-Assumptions!$B$24)*Assumptions!$B$25</f>
        <v>0</v>
      </c>
      <c r="AJ112" s="1" t="n">
        <f aca="false">F112+Assumptions!$B$27+(-PV(Assumptions!$B$3,H112-1,G112))</f>
        <v>26292.2032804019</v>
      </c>
      <c r="AK112" s="0" t="n">
        <f aca="false">CEILING(C112/AH112,1)</f>
        <v>2</v>
      </c>
      <c r="AL112" s="0" t="n">
        <f aca="false">(1+Assumptions!$B$26)/POWER(1+Assumptions!$B$2,AH112)</f>
        <v>0.906135810905202</v>
      </c>
      <c r="AM112" s="0" t="n">
        <f aca="false">IF(ABS(1-AL112)&lt;0.000000000001,AK112,(1-POWER(AL112,AK112))/(1-AL112))</f>
        <v>1.9061358109052</v>
      </c>
      <c r="AN112" s="0" t="n">
        <f aca="false">1/POWER(1+Assumptions!$B$2,AH112)</f>
        <v>0.871284433562695</v>
      </c>
      <c r="AO112" s="0" t="n">
        <f aca="false">IF(ABS(1-AN112)&lt;0.000000000001,AK112,AN112*(1-POWER(AN112,AK112))/(1-AN112))</f>
        <v>1.63042099773136</v>
      </c>
      <c r="AP112" s="1" t="n">
        <f aca="false">AJ112*AM112+Assumptions!$B$28*AO112+(-PV(Assumptions!$B$2,C112,R112+T112+AI112))</f>
        <v>67075.6457006426</v>
      </c>
      <c r="AQ112" s="0" t="n">
        <f aca="false">N112*(1+Assumptions!$B$8)</f>
        <v>32266.9305</v>
      </c>
      <c r="AR112" s="1" t="n">
        <f aca="false">PMT(Assumptions!$B$5,Assumptions!$B$29,-AQ112)</f>
        <v>996.161615750845</v>
      </c>
      <c r="AS112" s="0" t="n">
        <f aca="false">MAX(0,AD112-H112)</f>
        <v>36</v>
      </c>
      <c r="AT112" s="0" t="n">
        <f aca="false">MIN(Assumptions!$B$29,AS112)</f>
        <v>36</v>
      </c>
      <c r="AU112" s="0" t="n">
        <f aca="false">IF(AS112&gt;=Assumptions!$B$29,0,-PV(Assumptions!$B$5,Assumptions!$B$29-AS112,AR112))</f>
        <v>0</v>
      </c>
      <c r="AV112" s="1" t="n">
        <f aca="false">(-PV(Assumptions!$B$3,AT112,AR112))/POWER(1+Assumptions!$B$2,AH112)</f>
        <v>29089.9844272328</v>
      </c>
      <c r="AW112" s="1" t="n">
        <f aca="false">-PV(Assumptions!$B$2,AH112,T112+AI112)</f>
        <v>5318.41766002654</v>
      </c>
      <c r="AX112" s="1" t="n">
        <f aca="false">(-PV(Assumptions!$B$2,C112,S112))-(-PV(Assumptions!$B$2,AH112,S112))</f>
        <v>4175.71854126704</v>
      </c>
      <c r="AY112" s="1" t="n">
        <f aca="false">AJ112+AW112+AX112+(-PV(Assumptions!$B$2,C112,R112))+X112-(W112/POWER(1+Assumptions!$B$2,C112))</f>
        <v>18964.1778965932</v>
      </c>
      <c r="AZ112" s="1" t="n">
        <f aca="false">AY112+AV112+(AU112/POWER(1+Assumptions!$B$2,C112))</f>
        <v>48054.162323826</v>
      </c>
      <c r="BA112" s="0" t="n">
        <f aca="false">AQ112/POWER(1+Assumptions!$B$2,AH112)</f>
        <v>28113.6742634993</v>
      </c>
      <c r="BB112" s="1" t="n">
        <f aca="false">AY112+BA112</f>
        <v>47077.8521600925</v>
      </c>
      <c r="BC112" s="1" t="n">
        <f aca="false">AJ112+Assumptions!$B$28/POWER(1+Assumptions!$B$2,AH112)+(-PV(Assumptions!$B$2,AH112,R112+T112+AI112))</f>
        <v>35355.0347645399</v>
      </c>
      <c r="BD112" s="1" t="n">
        <f aca="false">MIN(Z112,AG112,AZ112)</f>
        <v>48054.162323826</v>
      </c>
      <c r="BE112" s="0" t="str">
        <f aca="false">IF(BD112=Z112,"Cash",IF(BD112=AG112,"Loan","Lease then buy out"))</f>
        <v>Lease then buy out</v>
      </c>
    </row>
    <row r="113" customFormat="false" ht="15" hidden="false" customHeight="false" outlineLevel="0" collapsed="false">
      <c r="A113" s="0" t="s">
        <v>89</v>
      </c>
      <c r="B113" s="0" t="s">
        <v>95</v>
      </c>
      <c r="C113" s="0" t="n">
        <v>6</v>
      </c>
      <c r="D113" s="0" t="n">
        <v>0</v>
      </c>
      <c r="E113" s="0" t="n">
        <v>61012</v>
      </c>
      <c r="F113" s="0" t="n">
        <v>5941</v>
      </c>
      <c r="G113" s="0" t="n">
        <v>941</v>
      </c>
      <c r="H113" s="0" t="n">
        <v>36</v>
      </c>
      <c r="I113" s="0" t="n">
        <v>25</v>
      </c>
      <c r="J113" s="0" t="n">
        <v>23147</v>
      </c>
      <c r="K113" s="0" t="s">
        <v>35</v>
      </c>
      <c r="L113" s="0" t="n">
        <v>152</v>
      </c>
      <c r="M113" s="0" t="n">
        <f aca="false">MAX(Assumptions!$B$33,Assumptions!$B$30-Assumptions!$B$31*(H113-36)-IF(D113=1,Assumptions!$B$32,0))</f>
        <v>0.57</v>
      </c>
      <c r="N113" s="0" t="n">
        <f aca="false">E113*M113</f>
        <v>34776.84</v>
      </c>
      <c r="O113" s="0" t="n">
        <f aca="false">1-POWER(J113/E113,0.1)</f>
        <v>0.0923718751160323</v>
      </c>
      <c r="P113" s="0" t="n">
        <f aca="false">E113*(1+Assumptions!$B$8)+Assumptions!$B$9</f>
        <v>64462.6</v>
      </c>
      <c r="Q113" s="0" t="n">
        <f aca="false">IF(D113=1,Assumptions!$B$14*33.7,Assumptions!$B$13)</f>
        <v>3.1</v>
      </c>
      <c r="R113" s="0" t="n">
        <f aca="false">(Assumptions!$B$10/I113)*Q113</f>
        <v>1240</v>
      </c>
      <c r="S113" s="0" t="n">
        <f aca="false">Assumptions!$B$15+Assumptions!$B$17</f>
        <v>1750</v>
      </c>
      <c r="T113" s="0" t="n">
        <f aca="false">Assumptions!$B$15*(1+Assumptions!$B$16)+Assumptions!$B$17</f>
        <v>1942</v>
      </c>
      <c r="U113" s="0" t="n">
        <f aca="false">IF(OR(C113&gt;Assumptions!$B$11,Assumptions!$B$10*C113&gt;Assumptions!$B$12),1,0)</f>
        <v>0</v>
      </c>
      <c r="V113" s="0" t="n">
        <f aca="false">MAX(0.6,1-Assumptions!$B$22*MAX(0,(Assumptions!$B$10-10000)*C113)/10000)</f>
        <v>1</v>
      </c>
      <c r="W113" s="0" t="n">
        <f aca="false">IF(U113=1,Assumptions!$B$23,MAX(Assumptions!$B$23,E113*POWER(1-O113,C113)*V113))</f>
        <v>34108.5244171388</v>
      </c>
      <c r="X113" s="0" t="n">
        <f aca="true">SUMPRODUCT((ROW(INDIRECT("1:"&amp;C113))&gt;Assumptions!$B$20)*Assumptions!$B$18*POWER(Assumptions!$B$19,ROW(INDIRECT("1:"&amp;C113))-Assumptions!$B$20-1)*IF(ROW(INDIRECT("1:"&amp;C113))&gt;Assumptions!$B$11,Assumptions!$B$21,1)/POWER(1+Assumptions!$B$2,ROW(INDIRECT("1:"&amp;C113))))</f>
        <v>2475.151938064</v>
      </c>
      <c r="Y113" s="1" t="n">
        <f aca="false">-PV(Assumptions!$B$2,C113,R113+S113)+X113</f>
        <v>17798.1662601</v>
      </c>
      <c r="Z113" s="1" t="n">
        <f aca="false">P113+Y113-(W113/POWER(1+Assumptions!$B$2,C113))</f>
        <v>56367.7382252102</v>
      </c>
      <c r="AA113" s="0" t="n">
        <f aca="false">P113*Assumptions!$B$7</f>
        <v>6446.26</v>
      </c>
      <c r="AB113" s="0" t="n">
        <f aca="false">P113-AA113</f>
        <v>58016.34</v>
      </c>
      <c r="AC113" s="1" t="n">
        <f aca="false">PMT(Assumptions!$B$5,Assumptions!$B$6,-AB113)</f>
        <v>1148.51936456348</v>
      </c>
      <c r="AD113" s="0" t="n">
        <f aca="false">C113*12</f>
        <v>72</v>
      </c>
      <c r="AE113" s="0" t="n">
        <f aca="false">MIN(Assumptions!$B$6,AD113)</f>
        <v>60</v>
      </c>
      <c r="AF113" s="0" t="n">
        <f aca="false">IF(AD113&gt;=Assumptions!$B$6,0,-PV(Assumptions!$B$5,Assumptions!$B$6-AD113,AC113))</f>
        <v>0</v>
      </c>
      <c r="AG113" s="1" t="n">
        <f aca="false">AA113+(-PV(Assumptions!$B$3,AE113,AC113))+Y113-((W113-AF113)/POWER(1+Assumptions!$B$2,C113))</f>
        <v>59657.7550520058</v>
      </c>
      <c r="AH113" s="0" t="n">
        <f aca="false">H113/12</f>
        <v>3</v>
      </c>
      <c r="AI113" s="0" t="n">
        <f aca="false">MAX(0,Assumptions!$B$10-Assumptions!$B$24)*Assumptions!$B$25</f>
        <v>0</v>
      </c>
      <c r="AJ113" s="1" t="n">
        <f aca="false">F113+Assumptions!$B$27+(-PV(Assumptions!$B$3,H113-1,G113))</f>
        <v>37362.194913167</v>
      </c>
      <c r="AK113" s="0" t="n">
        <f aca="false">CEILING(C113/AH113,1)</f>
        <v>2</v>
      </c>
      <c r="AL113" s="0" t="n">
        <f aca="false">(1+Assumptions!$B$26)/POWER(1+Assumptions!$B$2,AH113)</f>
        <v>0.906135810905202</v>
      </c>
      <c r="AM113" s="0" t="n">
        <f aca="false">IF(ABS(1-AL113)&lt;0.000000000001,AK113,(1-POWER(AL113,AK113))/(1-AL113))</f>
        <v>1.9061358109052</v>
      </c>
      <c r="AN113" s="0" t="n">
        <f aca="false">1/POWER(1+Assumptions!$B$2,AH113)</f>
        <v>0.871284433562695</v>
      </c>
      <c r="AO113" s="0" t="n">
        <f aca="false">IF(ABS(1-AN113)&lt;0.000000000001,AK113,AN113*(1-POWER(AN113,AK113))/(1-AN113))</f>
        <v>1.63042099773136</v>
      </c>
      <c r="AP113" s="1" t="n">
        <f aca="false">AJ113*AM113+Assumptions!$B$28*AO113+(-PV(Assumptions!$B$2,C113,R113+T113+AI113))</f>
        <v>88176.5531782771</v>
      </c>
      <c r="AQ113" s="0" t="n">
        <f aca="false">N113*(1+Assumptions!$B$8)</f>
        <v>36515.682</v>
      </c>
      <c r="AR113" s="1" t="n">
        <f aca="false">PMT(Assumptions!$B$5,Assumptions!$B$29,-AQ113)</f>
        <v>1127.33130228684</v>
      </c>
      <c r="AS113" s="0" t="n">
        <f aca="false">MAX(0,AD113-H113)</f>
        <v>36</v>
      </c>
      <c r="AT113" s="0" t="n">
        <f aca="false">MIN(Assumptions!$B$29,AS113)</f>
        <v>36</v>
      </c>
      <c r="AU113" s="0" t="n">
        <f aca="false">IF(AS113&gt;=Assumptions!$B$29,0,-PV(Assumptions!$B$5,Assumptions!$B$29-AS113,AR113))</f>
        <v>0</v>
      </c>
      <c r="AV113" s="1" t="n">
        <f aca="false">(-PV(Assumptions!$B$3,AT113,AR113))/POWER(1+Assumptions!$B$2,AH113)</f>
        <v>32920.4112157426</v>
      </c>
      <c r="AW113" s="1" t="n">
        <f aca="false">-PV(Assumptions!$B$2,AH113,T113+AI113)</f>
        <v>5318.41766002654</v>
      </c>
      <c r="AX113" s="1" t="n">
        <f aca="false">(-PV(Assumptions!$B$2,C113,S113))-(-PV(Assumptions!$B$2,AH113,S113))</f>
        <v>4175.71854126704</v>
      </c>
      <c r="AY113" s="1" t="n">
        <f aca="false">AJ113+AW113+AX113+(-PV(Assumptions!$B$2,C113,R113))+X113-(W113/POWER(1+Assumptions!$B$2,C113))</f>
        <v>29793.149920419</v>
      </c>
      <c r="AZ113" s="1" t="n">
        <f aca="false">AY113+AV113+(AU113/POWER(1+Assumptions!$B$2,C113))</f>
        <v>62713.5611361615</v>
      </c>
      <c r="BA113" s="0" t="n">
        <f aca="false">AQ113/POWER(1+Assumptions!$B$2,AH113)</f>
        <v>31815.5453075255</v>
      </c>
      <c r="BB113" s="1" t="n">
        <f aca="false">AY113+BA113</f>
        <v>61608.6952279444</v>
      </c>
      <c r="BC113" s="1" t="n">
        <f aca="false">AJ113+Assumptions!$B$28/POWER(1+Assumptions!$B$2,AH113)+(-PV(Assumptions!$B$2,AH113,R113+T113+AI113))</f>
        <v>46425.026397305</v>
      </c>
      <c r="BD113" s="1" t="n">
        <f aca="false">MIN(Z113,AG113,AZ113)</f>
        <v>56367.7382252102</v>
      </c>
      <c r="BE113" s="0" t="str">
        <f aca="false">IF(BD113=Z113,"Cash",IF(BD113=AG113,"Loan","Lease then buy out"))</f>
        <v>Cash</v>
      </c>
    </row>
    <row r="114" customFormat="false" ht="15" hidden="false" customHeight="false" outlineLevel="0" collapsed="false">
      <c r="A114" s="0" t="s">
        <v>51</v>
      </c>
      <c r="B114" s="0" t="s">
        <v>96</v>
      </c>
      <c r="C114" s="0" t="n">
        <v>6</v>
      </c>
      <c r="D114" s="0" t="n">
        <v>1</v>
      </c>
      <c r="E114" s="0" t="n">
        <v>73369</v>
      </c>
      <c r="F114" s="0" t="n">
        <v>3367</v>
      </c>
      <c r="G114" s="0" t="n">
        <v>867</v>
      </c>
      <c r="H114" s="0" t="n">
        <v>36</v>
      </c>
      <c r="I114" s="0" t="n">
        <v>63</v>
      </c>
      <c r="J114" s="0" t="n">
        <v>27865</v>
      </c>
      <c r="K114" s="0" t="s">
        <v>35</v>
      </c>
      <c r="L114" s="0" t="n">
        <v>90.1</v>
      </c>
      <c r="M114" s="0" t="n">
        <f aca="false">MAX(Assumptions!$B$33,Assumptions!$B$30-Assumptions!$B$31*(H114-36)-IF(D114=1,Assumptions!$B$32,0))</f>
        <v>0.49</v>
      </c>
      <c r="N114" s="0" t="n">
        <f aca="false">E114*M114</f>
        <v>35950.81</v>
      </c>
      <c r="O114" s="0" t="n">
        <f aca="false">1-POWER(J114/E114,0.1)</f>
        <v>0.0922742724734669</v>
      </c>
      <c r="P114" s="0" t="n">
        <f aca="false">E114*(1+Assumptions!$B$8)+Assumptions!$B$9</f>
        <v>77437.45</v>
      </c>
      <c r="Q114" s="0" t="n">
        <f aca="false">IF(D114=1,Assumptions!$B$14*33.7,Assumptions!$B$13)</f>
        <v>5.729</v>
      </c>
      <c r="R114" s="0" t="n">
        <f aca="false">(Assumptions!$B$10/I114)*Q114</f>
        <v>909.36507936508</v>
      </c>
      <c r="S114" s="0" t="n">
        <f aca="false">Assumptions!$B$15+Assumptions!$B$17</f>
        <v>1750</v>
      </c>
      <c r="T114" s="0" t="n">
        <f aca="false">Assumptions!$B$15*(1+Assumptions!$B$16)+Assumptions!$B$17</f>
        <v>1942</v>
      </c>
      <c r="U114" s="0" t="n">
        <f aca="false">IF(OR(C114&gt;Assumptions!$B$11,Assumptions!$B$10*C114&gt;Assumptions!$B$12),1,0)</f>
        <v>0</v>
      </c>
      <c r="V114" s="0" t="n">
        <f aca="false">MAX(0.6,1-Assumptions!$B$22*MAX(0,(Assumptions!$B$10-10000)*C114)/10000)</f>
        <v>1</v>
      </c>
      <c r="W114" s="0" t="n">
        <f aca="false">IF(U114=1,Assumptions!$B$23,MAX(Assumptions!$B$23,E114*POWER(1-O114,C114)*V114))</f>
        <v>41043.1295417823</v>
      </c>
      <c r="X114" s="0" t="n">
        <f aca="true">SUMPRODUCT((ROW(INDIRECT("1:"&amp;C114))&gt;Assumptions!$B$20)*Assumptions!$B$18*POWER(Assumptions!$B$19,ROW(INDIRECT("1:"&amp;C114))-Assumptions!$B$20-1)*IF(ROW(INDIRECT("1:"&amp;C114))&gt;Assumptions!$B$11,Assumptions!$B$21,1)/POWER(1+Assumptions!$B$2,ROW(INDIRECT("1:"&amp;C114))))</f>
        <v>2475.151938064</v>
      </c>
      <c r="Y114" s="1" t="n">
        <f aca="false">-PV(Assumptions!$B$2,C114,R114+S114)+X114</f>
        <v>16103.7436432926</v>
      </c>
      <c r="Z114" s="1" t="n">
        <f aca="false">P114+Y114-(W114/POWER(1+Assumptions!$B$2,C114))</f>
        <v>62383.8533002145</v>
      </c>
      <c r="AA114" s="0" t="n">
        <f aca="false">P114*Assumptions!$B$7</f>
        <v>7743.745</v>
      </c>
      <c r="AB114" s="0" t="n">
        <f aca="false">P114-AA114</f>
        <v>69693.705</v>
      </c>
      <c r="AC114" s="1" t="n">
        <f aca="false">PMT(Assumptions!$B$5,Assumptions!$B$6,-AB114)</f>
        <v>1379.6900973187</v>
      </c>
      <c r="AD114" s="0" t="n">
        <f aca="false">C114*12</f>
        <v>72</v>
      </c>
      <c r="AE114" s="0" t="n">
        <f aca="false">MIN(Assumptions!$B$6,AD114)</f>
        <v>60</v>
      </c>
      <c r="AF114" s="0" t="n">
        <f aca="false">IF(AD114&gt;=Assumptions!$B$6,0,-PV(Assumptions!$B$5,Assumptions!$B$6-AD114,AC114))</f>
        <v>0</v>
      </c>
      <c r="AG114" s="1" t="n">
        <f aca="false">AA114+(-PV(Assumptions!$B$3,AE114,AC114))+Y114-((W114-AF114)/POWER(1+Assumptions!$B$2,C114))</f>
        <v>66336.0754185303</v>
      </c>
      <c r="AH114" s="0" t="n">
        <f aca="false">H114/12</f>
        <v>3</v>
      </c>
      <c r="AI114" s="0" t="n">
        <f aca="false">MAX(0,Assumptions!$B$10-Assumptions!$B$24)*Assumptions!$B$25</f>
        <v>0</v>
      </c>
      <c r="AJ114" s="1" t="n">
        <f aca="false">F114+Assumptions!$B$27+(-PV(Assumptions!$B$3,H114-1,G114))</f>
        <v>32372.2879805694</v>
      </c>
      <c r="AK114" s="0" t="n">
        <f aca="false">CEILING(C114/AH114,1)</f>
        <v>2</v>
      </c>
      <c r="AL114" s="0" t="n">
        <f aca="false">(1+Assumptions!$B$26)/POWER(1+Assumptions!$B$2,AH114)</f>
        <v>0.906135810905202</v>
      </c>
      <c r="AM114" s="0" t="n">
        <f aca="false">IF(ABS(1-AL114)&lt;0.000000000001,AK114,(1-POWER(AL114,AK114))/(1-AL114))</f>
        <v>1.9061358109052</v>
      </c>
      <c r="AN114" s="0" t="n">
        <f aca="false">1/POWER(1+Assumptions!$B$2,AH114)</f>
        <v>0.871284433562695</v>
      </c>
      <c r="AO114" s="0" t="n">
        <f aca="false">IF(ABS(1-AN114)&lt;0.000000000001,AK114,AN114*(1-POWER(AN114,AK114))/(1-AN114))</f>
        <v>1.63042099773136</v>
      </c>
      <c r="AP114" s="1" t="n">
        <f aca="false">AJ114*AM114+Assumptions!$B$28*AO114+(-PV(Assumptions!$B$2,C114,R114+T114+AI114))</f>
        <v>76970.6902641612</v>
      </c>
      <c r="AQ114" s="0" t="n">
        <f aca="false">N114*(1+Assumptions!$B$8)</f>
        <v>37748.3505</v>
      </c>
      <c r="AR114" s="1" t="n">
        <f aca="false">PMT(Assumptions!$B$5,Assumptions!$B$29,-AQ114)</f>
        <v>1165.38689126346</v>
      </c>
      <c r="AS114" s="0" t="n">
        <f aca="false">MAX(0,AD114-H114)</f>
        <v>36</v>
      </c>
      <c r="AT114" s="0" t="n">
        <f aca="false">MIN(Assumptions!$B$29,AS114)</f>
        <v>36</v>
      </c>
      <c r="AU114" s="0" t="n">
        <f aca="false">IF(AS114&gt;=Assumptions!$B$29,0,-PV(Assumptions!$B$5,Assumptions!$B$29-AS114,AR114))</f>
        <v>0</v>
      </c>
      <c r="AV114" s="1" t="n">
        <f aca="false">(-PV(Assumptions!$B$3,AT114,AR114))/POWER(1+Assumptions!$B$2,AH114)</f>
        <v>34031.7133108997</v>
      </c>
      <c r="AW114" s="1" t="n">
        <f aca="false">-PV(Assumptions!$B$2,AH114,T114+AI114)</f>
        <v>5318.41766002654</v>
      </c>
      <c r="AX114" s="1" t="n">
        <f aca="false">(-PV(Assumptions!$B$2,C114,S114))-(-PV(Assumptions!$B$2,AH114,S114))</f>
        <v>4175.71854126704</v>
      </c>
      <c r="AY114" s="1" t="n">
        <f aca="false">AJ114+AW114+AX114+(-PV(Assumptions!$B$2,C114,R114))+X114-(W114/POWER(1+Assumptions!$B$2,C114))</f>
        <v>17844.5080628256</v>
      </c>
      <c r="AZ114" s="1" t="n">
        <f aca="false">AY114+AV114+(AU114/POWER(1+Assumptions!$B$2,C114))</f>
        <v>51876.2213737254</v>
      </c>
      <c r="BA114" s="0" t="n">
        <f aca="false">AQ114/POWER(1+Assumptions!$B$2,AH114)</f>
        <v>32889.5501833186</v>
      </c>
      <c r="BB114" s="1" t="n">
        <f aca="false">AY114+BA114</f>
        <v>50734.0582461442</v>
      </c>
      <c r="BC114" s="1" t="n">
        <f aca="false">AJ114+Assumptions!$B$28/POWER(1+Assumptions!$B$2,AH114)+(-PV(Assumptions!$B$2,AH114,R114+T114+AI114))</f>
        <v>40529.6330584632</v>
      </c>
      <c r="BD114" s="1" t="n">
        <f aca="false">MIN(Z114,AG114,AZ114)</f>
        <v>51876.2213737254</v>
      </c>
      <c r="BE114" s="0" t="str">
        <f aca="false">IF(BD114=Z114,"Cash",IF(BD114=AG114,"Loan","Lease then buy out"))</f>
        <v>Lease then buy out</v>
      </c>
    </row>
    <row r="115" customFormat="false" ht="15" hidden="false" customHeight="false" outlineLevel="0" collapsed="false">
      <c r="A115" s="0" t="s">
        <v>58</v>
      </c>
      <c r="B115" s="0" t="s">
        <v>97</v>
      </c>
      <c r="C115" s="0" t="n">
        <v>6</v>
      </c>
      <c r="D115" s="0" t="n">
        <v>0</v>
      </c>
      <c r="E115" s="0" t="n">
        <v>77972</v>
      </c>
      <c r="F115" s="0" t="n">
        <v>6060</v>
      </c>
      <c r="G115" s="0" t="n">
        <v>1060</v>
      </c>
      <c r="H115" s="0" t="n">
        <v>36</v>
      </c>
      <c r="I115" s="0" t="n">
        <v>25</v>
      </c>
      <c r="J115" s="0" t="n">
        <v>31917</v>
      </c>
      <c r="K115" s="0" t="s">
        <v>35</v>
      </c>
      <c r="L115" s="0" t="n">
        <v>179.1</v>
      </c>
      <c r="M115" s="0" t="n">
        <f aca="false">MAX(Assumptions!$B$33,Assumptions!$B$30-Assumptions!$B$31*(H115-36)-IF(D115=1,Assumptions!$B$32,0))</f>
        <v>0.57</v>
      </c>
      <c r="N115" s="0" t="n">
        <f aca="false">E115*M115</f>
        <v>44444.04</v>
      </c>
      <c r="O115" s="0" t="n">
        <f aca="false">1-POWER(J115/E115,0.1)</f>
        <v>0.0854481366097508</v>
      </c>
      <c r="P115" s="0" t="n">
        <f aca="false">E115*(1+Assumptions!$B$8)+Assumptions!$B$9</f>
        <v>82270.6</v>
      </c>
      <c r="Q115" s="0" t="n">
        <f aca="false">IF(D115=1,Assumptions!$B$14*33.7,Assumptions!$B$13)</f>
        <v>3.1</v>
      </c>
      <c r="R115" s="0" t="n">
        <f aca="false">(Assumptions!$B$10/I115)*Q115</f>
        <v>1240</v>
      </c>
      <c r="S115" s="0" t="n">
        <f aca="false">Assumptions!$B$15+Assumptions!$B$17</f>
        <v>1750</v>
      </c>
      <c r="T115" s="0" t="n">
        <f aca="false">Assumptions!$B$15*(1+Assumptions!$B$16)+Assumptions!$B$17</f>
        <v>1942</v>
      </c>
      <c r="U115" s="0" t="n">
        <f aca="false">IF(OR(C115&gt;Assumptions!$B$11,Assumptions!$B$10*C115&gt;Assumptions!$B$12),1,0)</f>
        <v>0</v>
      </c>
      <c r="V115" s="0" t="n">
        <f aca="false">MAX(0.6,1-Assumptions!$B$22*MAX(0,(Assumptions!$B$10-10000)*C115)/10000)</f>
        <v>1</v>
      </c>
      <c r="W115" s="0" t="n">
        <f aca="false">IF(U115=1,Assumptions!$B$23,MAX(Assumptions!$B$23,E115*POWER(1-O115,C115)*V115))</f>
        <v>45623.5114252704</v>
      </c>
      <c r="X115" s="0" t="n">
        <f aca="true">SUMPRODUCT((ROW(INDIRECT("1:"&amp;C115))&gt;Assumptions!$B$20)*Assumptions!$B$18*POWER(Assumptions!$B$19,ROW(INDIRECT("1:"&amp;C115))-Assumptions!$B$20-1)*IF(ROW(INDIRECT("1:"&amp;C115))&gt;Assumptions!$B$11,Assumptions!$B$21,1)/POWER(1+Assumptions!$B$2,ROW(INDIRECT("1:"&amp;C115))))</f>
        <v>2475.151938064</v>
      </c>
      <c r="Y115" s="1" t="n">
        <f aca="false">-PV(Assumptions!$B$2,C115,R115+S115)+X115</f>
        <v>17798.1662601</v>
      </c>
      <c r="Z115" s="1" t="n">
        <f aca="false">P115+Y115-(W115/POWER(1+Assumptions!$B$2,C115))</f>
        <v>65434.2905514104</v>
      </c>
      <c r="AA115" s="0" t="n">
        <f aca="false">P115*Assumptions!$B$7</f>
        <v>8227.06</v>
      </c>
      <c r="AB115" s="0" t="n">
        <f aca="false">P115-AA115</f>
        <v>74043.54</v>
      </c>
      <c r="AC115" s="1" t="n">
        <f aca="false">PMT(Assumptions!$B$5,Assumptions!$B$6,-AB115)</f>
        <v>1465.80152265432</v>
      </c>
      <c r="AD115" s="0" t="n">
        <f aca="false">C115*12</f>
        <v>72</v>
      </c>
      <c r="AE115" s="0" t="n">
        <f aca="false">MIN(Assumptions!$B$6,AD115)</f>
        <v>60</v>
      </c>
      <c r="AF115" s="0" t="n">
        <f aca="false">IF(AD115&gt;=Assumptions!$B$6,0,-PV(Assumptions!$B$5,Assumptions!$B$6-AD115,AC115))</f>
        <v>0</v>
      </c>
      <c r="AG115" s="1" t="n">
        <f aca="false">AA115+(-PV(Assumptions!$B$3,AE115,AC115))+Y115-((W115-AF115)/POWER(1+Assumptions!$B$2,C115))</f>
        <v>69633.1850786335</v>
      </c>
      <c r="AH115" s="0" t="n">
        <f aca="false">H115/12</f>
        <v>3</v>
      </c>
      <c r="AI115" s="0" t="n">
        <f aca="false">MAX(0,Assumptions!$B$10-Assumptions!$B$24)*Assumptions!$B$25</f>
        <v>0</v>
      </c>
      <c r="AJ115" s="1" t="n">
        <f aca="false">F115+Assumptions!$B$27+(-PV(Assumptions!$B$3,H115-1,G115))</f>
        <v>41366.2344399118</v>
      </c>
      <c r="AK115" s="0" t="n">
        <f aca="false">CEILING(C115/AH115,1)</f>
        <v>2</v>
      </c>
      <c r="AL115" s="0" t="n">
        <f aca="false">(1+Assumptions!$B$26)/POWER(1+Assumptions!$B$2,AH115)</f>
        <v>0.906135810905202</v>
      </c>
      <c r="AM115" s="0" t="n">
        <f aca="false">IF(ABS(1-AL115)&lt;0.000000000001,AK115,(1-POWER(AL115,AK115))/(1-AL115))</f>
        <v>1.9061358109052</v>
      </c>
      <c r="AN115" s="0" t="n">
        <f aca="false">1/POWER(1+Assumptions!$B$2,AH115)</f>
        <v>0.871284433562695</v>
      </c>
      <c r="AO115" s="0" t="n">
        <f aca="false">IF(ABS(1-AN115)&lt;0.000000000001,AK115,AN115*(1-POWER(AN115,AK115))/(1-AN115))</f>
        <v>1.63042099773136</v>
      </c>
      <c r="AP115" s="1" t="n">
        <f aca="false">AJ115*AM115+Assumptions!$B$28*AO115+(-PV(Assumptions!$B$2,C115,R115+T115+AI115))</f>
        <v>95808.7963084853</v>
      </c>
      <c r="AQ115" s="0" t="n">
        <f aca="false">N115*(1+Assumptions!$B$8)</f>
        <v>46666.242</v>
      </c>
      <c r="AR115" s="1" t="n">
        <f aca="false">PMT(Assumptions!$B$5,Assumptions!$B$29,-AQ115)</f>
        <v>1440.70471877515</v>
      </c>
      <c r="AS115" s="0" t="n">
        <f aca="false">MAX(0,AD115-H115)</f>
        <v>36</v>
      </c>
      <c r="AT115" s="0" t="n">
        <f aca="false">MIN(Assumptions!$B$29,AS115)</f>
        <v>36</v>
      </c>
      <c r="AU115" s="0" t="n">
        <f aca="false">IF(AS115&gt;=Assumptions!$B$29,0,-PV(Assumptions!$B$5,Assumptions!$B$29-AS115,AR115))</f>
        <v>0</v>
      </c>
      <c r="AV115" s="1" t="n">
        <f aca="false">(-PV(Assumptions!$B$3,AT115,AR115))/POWER(1+Assumptions!$B$2,AH115)</f>
        <v>42071.5646645558</v>
      </c>
      <c r="AW115" s="1" t="n">
        <f aca="false">-PV(Assumptions!$B$2,AH115,T115+AI115)</f>
        <v>5318.41766002654</v>
      </c>
      <c r="AX115" s="1" t="n">
        <f aca="false">(-PV(Assumptions!$B$2,C115,S115))-(-PV(Assumptions!$B$2,AH115,S115))</f>
        <v>4175.71854126704</v>
      </c>
      <c r="AY115" s="1" t="n">
        <f aca="false">AJ115+AW115+AX115+(-PV(Assumptions!$B$2,C115,R115))+X115-(W115/POWER(1+Assumptions!$B$2,C115))</f>
        <v>25055.7417733639</v>
      </c>
      <c r="AZ115" s="1" t="n">
        <f aca="false">AY115+AV115+(AU115/POWER(1+Assumptions!$B$2,C115))</f>
        <v>67127.3064379198</v>
      </c>
      <c r="BA115" s="0" t="n">
        <f aca="false">AQ115/POWER(1+Assumptions!$B$2,AH115)</f>
        <v>40659.5702274696</v>
      </c>
      <c r="BB115" s="1" t="n">
        <f aca="false">AY115+BA115</f>
        <v>65715.3120008336</v>
      </c>
      <c r="BC115" s="1" t="n">
        <f aca="false">AJ115+Assumptions!$B$28/POWER(1+Assumptions!$B$2,AH115)+(-PV(Assumptions!$B$2,AH115,R115+T115+AI115))</f>
        <v>50429.0659240498</v>
      </c>
      <c r="BD115" s="1" t="n">
        <f aca="false">MIN(Z115,AG115,AZ115)</f>
        <v>65434.2905514104</v>
      </c>
      <c r="BE115" s="0" t="str">
        <f aca="false">IF(BD115=Z115,"Cash",IF(BD115=AG115,"Loan","Lease then buy out"))</f>
        <v>Cash</v>
      </c>
    </row>
    <row r="116" customFormat="false" ht="15" hidden="false" customHeight="false" outlineLevel="0" collapsed="false">
      <c r="A116" s="0" t="s">
        <v>43</v>
      </c>
      <c r="B116" s="0" t="s">
        <v>98</v>
      </c>
      <c r="C116" s="0" t="n">
        <v>6</v>
      </c>
      <c r="D116" s="0" t="n">
        <v>0</v>
      </c>
      <c r="E116" s="0" t="n">
        <v>39600</v>
      </c>
      <c r="F116" s="0" t="n">
        <v>3999</v>
      </c>
      <c r="G116" s="0" t="n">
        <v>259</v>
      </c>
      <c r="H116" s="0" t="n">
        <v>36</v>
      </c>
      <c r="I116" s="0" t="n">
        <v>53</v>
      </c>
      <c r="J116" s="0" t="n">
        <v>8400</v>
      </c>
      <c r="K116" s="0" t="s">
        <v>99</v>
      </c>
      <c r="L116" s="0" t="n">
        <v>143.5</v>
      </c>
      <c r="M116" s="0" t="n">
        <f aca="false">MAX(Assumptions!$B$33,Assumptions!$B$30-Assumptions!$B$31*(H116-36)-IF(D116=1,Assumptions!$B$32,0))</f>
        <v>0.57</v>
      </c>
      <c r="N116" s="0" t="n">
        <f aca="false">E116*M116</f>
        <v>22572</v>
      </c>
      <c r="O116" s="0" t="n">
        <f aca="false">1-POWER(J116/E116,0.1)</f>
        <v>0.143635984293751</v>
      </c>
      <c r="P116" s="0" t="n">
        <f aca="false">E116*(1+Assumptions!$B$8)+Assumptions!$B$9</f>
        <v>41980</v>
      </c>
      <c r="Q116" s="0" t="n">
        <f aca="false">IF(D116=1,Assumptions!$B$14*33.7,Assumptions!$B$13)</f>
        <v>3.1</v>
      </c>
      <c r="R116" s="0" t="n">
        <f aca="false">(Assumptions!$B$10/I116)*Q116</f>
        <v>584.905660377359</v>
      </c>
      <c r="S116" s="0" t="n">
        <f aca="false">Assumptions!$B$15+Assumptions!$B$17</f>
        <v>1750</v>
      </c>
      <c r="T116" s="0" t="n">
        <f aca="false">Assumptions!$B$15*(1+Assumptions!$B$16)+Assumptions!$B$17</f>
        <v>1942</v>
      </c>
      <c r="U116" s="0" t="n">
        <f aca="false">IF(OR(C116&gt;Assumptions!$B$11,Assumptions!$B$10*C116&gt;Assumptions!$B$12),1,0)</f>
        <v>0</v>
      </c>
      <c r="V116" s="0" t="n">
        <f aca="false">MAX(0.6,1-Assumptions!$B$22*MAX(0,(Assumptions!$B$10-10000)*C116)/10000)</f>
        <v>1</v>
      </c>
      <c r="W116" s="0" t="n">
        <f aca="false">IF(U116=1,Assumptions!$B$23,MAX(Assumptions!$B$23,E116*POWER(1-O116,C116)*V116))</f>
        <v>15618.7274342432</v>
      </c>
      <c r="X116" s="0" t="n">
        <f aca="true">SUMPRODUCT((ROW(INDIRECT("1:"&amp;C116))&gt;Assumptions!$B$20)*Assumptions!$B$18*POWER(Assumptions!$B$19,ROW(INDIRECT("1:"&amp;C116))-Assumptions!$B$20-1)*IF(ROW(INDIRECT("1:"&amp;C116))&gt;Assumptions!$B$11,Assumptions!$B$21,1)/POWER(1+Assumptions!$B$2,ROW(INDIRECT("1:"&amp;C116))))</f>
        <v>2475.151938064</v>
      </c>
      <c r="Y116" s="1" t="n">
        <f aca="false">-PV(Assumptions!$B$2,C116,R116+S116)+X116</f>
        <v>14440.9689529687</v>
      </c>
      <c r="Z116" s="1" t="n">
        <f aca="false">P116+Y116-(W116/POWER(1+Assumptions!$B$2,C116))</f>
        <v>44564.2218718504</v>
      </c>
      <c r="AA116" s="0" t="n">
        <f aca="false">P116*Assumptions!$B$7</f>
        <v>4198</v>
      </c>
      <c r="AB116" s="0" t="n">
        <f aca="false">P116-AA116</f>
        <v>37782</v>
      </c>
      <c r="AC116" s="1" t="n">
        <f aca="false">PMT(Assumptions!$B$5,Assumptions!$B$6,-AB116)</f>
        <v>747.9506399738</v>
      </c>
      <c r="AD116" s="0" t="n">
        <f aca="false">C116*12</f>
        <v>72</v>
      </c>
      <c r="AE116" s="0" t="n">
        <f aca="false">MIN(Assumptions!$B$6,AD116)</f>
        <v>60</v>
      </c>
      <c r="AF116" s="0" t="n">
        <f aca="false">IF(AD116&gt;=Assumptions!$B$6,0,-PV(Assumptions!$B$5,Assumptions!$B$6-AD116,AC116))</f>
        <v>0</v>
      </c>
      <c r="AG116" s="1" t="n">
        <f aca="false">AA116+(-PV(Assumptions!$B$3,AE116,AC116))+Y116-((W116-AF116)/POWER(1+Assumptions!$B$2,C116))</f>
        <v>46706.7806018564</v>
      </c>
      <c r="AH116" s="0" t="n">
        <f aca="false">H116/12</f>
        <v>3</v>
      </c>
      <c r="AI116" s="0" t="n">
        <f aca="false">MAX(0,Assumptions!$B$10-Assumptions!$B$24)*Assumptions!$B$25</f>
        <v>0</v>
      </c>
      <c r="AJ116" s="1" t="n">
        <f aca="false">F116+Assumptions!$B$27+(-PV(Assumptions!$B$3,H116-1,G116))</f>
        <v>13154.6742640917</v>
      </c>
      <c r="AK116" s="0" t="n">
        <f aca="false">CEILING(C116/AH116,1)</f>
        <v>2</v>
      </c>
      <c r="AL116" s="0" t="n">
        <f aca="false">(1+Assumptions!$B$26)/POWER(1+Assumptions!$B$2,AH116)</f>
        <v>0.906135810905202</v>
      </c>
      <c r="AM116" s="0" t="n">
        <f aca="false">IF(ABS(1-AL116)&lt;0.000000000001,AK116,(1-POWER(AL116,AK116))/(1-AL116))</f>
        <v>1.9061358109052</v>
      </c>
      <c r="AN116" s="0" t="n">
        <f aca="false">1/POWER(1+Assumptions!$B$2,AH116)</f>
        <v>0.871284433562695</v>
      </c>
      <c r="AO116" s="0" t="n">
        <f aca="false">IF(ABS(1-AN116)&lt;0.000000000001,AK116,AN116*(1-POWER(AN116,AK116))/(1-AN116))</f>
        <v>1.63042099773136</v>
      </c>
      <c r="AP116" s="1" t="n">
        <f aca="false">AJ116*AM116+Assumptions!$B$28*AO116+(-PV(Assumptions!$B$2,C116,R116+T116+AI116))</f>
        <v>38676.5338687162</v>
      </c>
      <c r="AQ116" s="0" t="n">
        <f aca="false">N116*(1+Assumptions!$B$8)</f>
        <v>23700.6</v>
      </c>
      <c r="AR116" s="1" t="n">
        <f aca="false">PMT(Assumptions!$B$5,Assumptions!$B$29,-AQ116)</f>
        <v>731.69736397035</v>
      </c>
      <c r="AS116" s="0" t="n">
        <f aca="false">MAX(0,AD116-H116)</f>
        <v>36</v>
      </c>
      <c r="AT116" s="0" t="n">
        <f aca="false">MIN(Assumptions!$B$29,AS116)</f>
        <v>36</v>
      </c>
      <c r="AU116" s="0" t="n">
        <f aca="false">IF(AS116&gt;=Assumptions!$B$29,0,-PV(Assumptions!$B$5,Assumptions!$B$29-AS116,AR116))</f>
        <v>0</v>
      </c>
      <c r="AV116" s="1" t="n">
        <f aca="false">(-PV(Assumptions!$B$3,AT116,AR116))/POWER(1+Assumptions!$B$2,AH116)</f>
        <v>21367.0799866158</v>
      </c>
      <c r="AW116" s="1" t="n">
        <f aca="false">-PV(Assumptions!$B$2,AH116,T116+AI116)</f>
        <v>5318.41766002654</v>
      </c>
      <c r="AX116" s="1" t="n">
        <f aca="false">(-PV(Assumptions!$B$2,C116,S116))-(-PV(Assumptions!$B$2,AH116,S116))</f>
        <v>4175.71854126704</v>
      </c>
      <c r="AY116" s="1" t="n">
        <f aca="false">AJ116+AW116+AX116+(-PV(Assumptions!$B$2,C116,R116))+X116-(W116/POWER(1+Assumptions!$B$2,C116))</f>
        <v>16264.7129179838</v>
      </c>
      <c r="AZ116" s="1" t="n">
        <f aca="false">AY116+AV116+(AU116/POWER(1+Assumptions!$B$2,C116))</f>
        <v>37631.7929045997</v>
      </c>
      <c r="BA116" s="0" t="n">
        <f aca="false">AQ116/POWER(1+Assumptions!$B$2,AH116)</f>
        <v>20649.963846096</v>
      </c>
      <c r="BB116" s="1" t="n">
        <f aca="false">AY116+BA116</f>
        <v>36914.6767640798</v>
      </c>
      <c r="BC116" s="1" t="n">
        <f aca="false">AJ116+Assumptions!$B$28/POWER(1+Assumptions!$B$2,AH116)+(-PV(Assumptions!$B$2,AH116,R116+T116+AI116))</f>
        <v>20423.4453440935</v>
      </c>
      <c r="BD116" s="1" t="n">
        <f aca="false">MIN(Z116,AG116,AZ116)</f>
        <v>37631.7929045997</v>
      </c>
      <c r="BE116" s="0" t="str">
        <f aca="false">IF(BD116=Z116,"Cash",IF(BD116=AG116,"Loan","Lease then buy out"))</f>
        <v>Lease then buy out</v>
      </c>
    </row>
    <row r="117" customFormat="false" ht="15" hidden="false" customHeight="false" outlineLevel="0" collapsed="false">
      <c r="A117" s="0" t="s">
        <v>67</v>
      </c>
      <c r="B117" s="0" t="s">
        <v>100</v>
      </c>
      <c r="C117" s="0" t="n">
        <v>6</v>
      </c>
      <c r="D117" s="0" t="n">
        <v>0</v>
      </c>
      <c r="E117" s="0" t="n">
        <v>49945</v>
      </c>
      <c r="F117" s="0" t="n">
        <v>6259</v>
      </c>
      <c r="G117" s="0" t="n">
        <v>299</v>
      </c>
      <c r="H117" s="0" t="n">
        <v>36</v>
      </c>
      <c r="I117" s="0" t="n">
        <v>25</v>
      </c>
      <c r="J117" s="0" t="n">
        <v>15372</v>
      </c>
      <c r="K117" s="0" t="s">
        <v>99</v>
      </c>
      <c r="L117" s="0" t="n">
        <v>174.9</v>
      </c>
      <c r="M117" s="0" t="n">
        <f aca="false">MAX(Assumptions!$B$33,Assumptions!$B$30-Assumptions!$B$31*(H117-36)-IF(D117=1,Assumptions!$B$32,0))</f>
        <v>0.57</v>
      </c>
      <c r="N117" s="0" t="n">
        <f aca="false">E117*M117</f>
        <v>28468.65</v>
      </c>
      <c r="O117" s="0" t="n">
        <f aca="false">1-POWER(J117/E117,0.1)</f>
        <v>0.111159498302309</v>
      </c>
      <c r="P117" s="0" t="n">
        <f aca="false">E117*(1+Assumptions!$B$8)+Assumptions!$B$9</f>
        <v>52842.25</v>
      </c>
      <c r="Q117" s="0" t="n">
        <f aca="false">IF(D117=1,Assumptions!$B$14*33.7,Assumptions!$B$13)</f>
        <v>3.1</v>
      </c>
      <c r="R117" s="0" t="n">
        <f aca="false">(Assumptions!$B$10/I117)*Q117</f>
        <v>1240</v>
      </c>
      <c r="S117" s="0" t="n">
        <f aca="false">Assumptions!$B$15+Assumptions!$B$17</f>
        <v>1750</v>
      </c>
      <c r="T117" s="0" t="n">
        <f aca="false">Assumptions!$B$15*(1+Assumptions!$B$16)+Assumptions!$B$17</f>
        <v>1942</v>
      </c>
      <c r="U117" s="0" t="n">
        <f aca="false">IF(OR(C117&gt;Assumptions!$B$11,Assumptions!$B$10*C117&gt;Assumptions!$B$12),1,0)</f>
        <v>0</v>
      </c>
      <c r="V117" s="0" t="n">
        <f aca="false">MAX(0.6,1-Assumptions!$B$22*MAX(0,(Assumptions!$B$10-10000)*C117)/10000)</f>
        <v>1</v>
      </c>
      <c r="W117" s="0" t="n">
        <f aca="false">IF(U117=1,Assumptions!$B$23,MAX(Assumptions!$B$23,E117*POWER(1-O117,C117)*V117))</f>
        <v>24628.3338733764</v>
      </c>
      <c r="X117" s="0" t="n">
        <f aca="true">SUMPRODUCT((ROW(INDIRECT("1:"&amp;C117))&gt;Assumptions!$B$20)*Assumptions!$B$18*POWER(Assumptions!$B$19,ROW(INDIRECT("1:"&amp;C117))-Assumptions!$B$20-1)*IF(ROW(INDIRECT("1:"&amp;C117))&gt;Assumptions!$B$11,Assumptions!$B$21,1)/POWER(1+Assumptions!$B$2,ROW(INDIRECT("1:"&amp;C117))))</f>
        <v>2475.151938064</v>
      </c>
      <c r="Y117" s="1" t="n">
        <f aca="false">-PV(Assumptions!$B$2,C117,R117+S117)+X117</f>
        <v>17798.1662601</v>
      </c>
      <c r="Z117" s="1" t="n">
        <f aca="false">P117+Y117-(W117/POWER(1+Assumptions!$B$2,C117))</f>
        <v>51944.1475022662</v>
      </c>
      <c r="AA117" s="0" t="n">
        <f aca="false">P117*Assumptions!$B$7</f>
        <v>5284.225</v>
      </c>
      <c r="AB117" s="0" t="n">
        <f aca="false">P117-AA117</f>
        <v>47558.025</v>
      </c>
      <c r="AC117" s="1" t="n">
        <f aca="false">PMT(Assumptions!$B$5,Assumptions!$B$6,-AB117)</f>
        <v>941.481531804563</v>
      </c>
      <c r="AD117" s="0" t="n">
        <f aca="false">C117*12</f>
        <v>72</v>
      </c>
      <c r="AE117" s="0" t="n">
        <f aca="false">MIN(Assumptions!$B$6,AD117)</f>
        <v>60</v>
      </c>
      <c r="AF117" s="0" t="n">
        <f aca="false">IF(AD117&gt;=Assumptions!$B$6,0,-PV(Assumptions!$B$5,Assumptions!$B$6-AD117,AC117))</f>
        <v>0</v>
      </c>
      <c r="AG117" s="1" t="n">
        <f aca="false">AA117+(-PV(Assumptions!$B$3,AE117,AC117))+Y117-((W117-AF117)/POWER(1+Assumptions!$B$2,C117))</f>
        <v>54641.0894758407</v>
      </c>
      <c r="AH117" s="0" t="n">
        <f aca="false">H117/12</f>
        <v>3</v>
      </c>
      <c r="AI117" s="0" t="n">
        <f aca="false">MAX(0,Assumptions!$B$10-Assumptions!$B$24)*Assumptions!$B$25</f>
        <v>0</v>
      </c>
      <c r="AJ117" s="1" t="n">
        <f aca="false">F117+Assumptions!$B$27+(-PV(Assumptions!$B$3,H117-1,G117))</f>
        <v>16720.5699033336</v>
      </c>
      <c r="AK117" s="0" t="n">
        <f aca="false">CEILING(C117/AH117,1)</f>
        <v>2</v>
      </c>
      <c r="AL117" s="0" t="n">
        <f aca="false">(1+Assumptions!$B$26)/POWER(1+Assumptions!$B$2,AH117)</f>
        <v>0.906135810905202</v>
      </c>
      <c r="AM117" s="0" t="n">
        <f aca="false">IF(ABS(1-AL117)&lt;0.000000000001,AK117,(1-POWER(AL117,AK117))/(1-AL117))</f>
        <v>1.9061358109052</v>
      </c>
      <c r="AN117" s="0" t="n">
        <f aca="false">1/POWER(1+Assumptions!$B$2,AH117)</f>
        <v>0.871284433562695</v>
      </c>
      <c r="AO117" s="0" t="n">
        <f aca="false">IF(ABS(1-AN117)&lt;0.000000000001,AK117,AN117*(1-POWER(AN117,AK117))/(1-AN117))</f>
        <v>1.63042099773136</v>
      </c>
      <c r="AP117" s="1" t="n">
        <f aca="false">AJ117*AM117+Assumptions!$B$28*AO117+(-PV(Assumptions!$B$2,C117,R117+T117+AI117))</f>
        <v>48830.8125517572</v>
      </c>
      <c r="AQ117" s="0" t="n">
        <f aca="false">N117*(1+Assumptions!$B$8)</f>
        <v>29892.0825</v>
      </c>
      <c r="AR117" s="1" t="n">
        <f aca="false">PMT(Assumptions!$B$5,Assumptions!$B$29,-AQ117)</f>
        <v>922.844061704523</v>
      </c>
      <c r="AS117" s="0" t="n">
        <f aca="false">MAX(0,AD117-H117)</f>
        <v>36</v>
      </c>
      <c r="AT117" s="0" t="n">
        <f aca="false">MIN(Assumptions!$B$29,AS117)</f>
        <v>36</v>
      </c>
      <c r="AU117" s="0" t="n">
        <f aca="false">IF(AS117&gt;=Assumptions!$B$29,0,-PV(Assumptions!$B$5,Assumptions!$B$29-AS117,AR117))</f>
        <v>0</v>
      </c>
      <c r="AV117" s="1" t="n">
        <f aca="false">(-PV(Assumptions!$B$3,AT117,AR117))/POWER(1+Assumptions!$B$2,AH117)</f>
        <v>26948.9598467558</v>
      </c>
      <c r="AW117" s="1" t="n">
        <f aca="false">-PV(Assumptions!$B$2,AH117,T117+AI117)</f>
        <v>5318.41766002654</v>
      </c>
      <c r="AX117" s="1" t="n">
        <f aca="false">(-PV(Assumptions!$B$2,C117,S117))-(-PV(Assumptions!$B$2,AH117,S117))</f>
        <v>4175.71854126704</v>
      </c>
      <c r="AY117" s="1" t="n">
        <f aca="false">AJ117+AW117+AX117+(-PV(Assumptions!$B$2,C117,R117))+X117-(W117/POWER(1+Assumptions!$B$2,C117))</f>
        <v>16348.2841876416</v>
      </c>
      <c r="AZ117" s="1" t="n">
        <f aca="false">AY117+AV117+(AU117/POWER(1+Assumptions!$B$2,C117))</f>
        <v>43297.2440343973</v>
      </c>
      <c r="BA117" s="0" t="n">
        <f aca="false">AQ117/POWER(1+Assumptions!$B$2,AH117)</f>
        <v>26044.5061690218</v>
      </c>
      <c r="BB117" s="1" t="n">
        <f aca="false">AY117+BA117</f>
        <v>42392.7903566634</v>
      </c>
      <c r="BC117" s="1" t="n">
        <f aca="false">AJ117+Assumptions!$B$28/POWER(1+Assumptions!$B$2,AH117)+(-PV(Assumptions!$B$2,AH117,R117+T117+AI117))</f>
        <v>25783.4013874716</v>
      </c>
      <c r="BD117" s="1" t="n">
        <f aca="false">MIN(Z117,AG117,AZ117)</f>
        <v>43297.2440343973</v>
      </c>
      <c r="BE117" s="0" t="str">
        <f aca="false">IF(BD117=Z117,"Cash",IF(BD117=AG117,"Loan","Lease then buy out"))</f>
        <v>Lease then buy out</v>
      </c>
    </row>
    <row r="118" customFormat="false" ht="15" hidden="false" customHeight="false" outlineLevel="0" collapsed="false">
      <c r="A118" s="0" t="s">
        <v>43</v>
      </c>
      <c r="B118" s="0" t="s">
        <v>101</v>
      </c>
      <c r="C118" s="0" t="n">
        <v>6</v>
      </c>
      <c r="D118" s="0" t="n">
        <v>1</v>
      </c>
      <c r="E118" s="0" t="n">
        <v>42600</v>
      </c>
      <c r="F118" s="0" t="n">
        <v>4499</v>
      </c>
      <c r="G118" s="0" t="n">
        <v>319</v>
      </c>
      <c r="H118" s="0" t="n">
        <v>36</v>
      </c>
      <c r="I118" s="0" t="n">
        <v>117</v>
      </c>
      <c r="J118" s="0" t="n">
        <v>8897</v>
      </c>
      <c r="K118" s="0" t="s">
        <v>99</v>
      </c>
      <c r="L118" s="0" t="n">
        <v>148.2</v>
      </c>
      <c r="M118" s="0" t="n">
        <f aca="false">MAX(Assumptions!$B$33,Assumptions!$B$30-Assumptions!$B$31*(H118-36)-IF(D118=1,Assumptions!$B$32,0))</f>
        <v>0.49</v>
      </c>
      <c r="N118" s="0" t="n">
        <f aca="false">E118*M118</f>
        <v>20874</v>
      </c>
      <c r="O118" s="0" t="n">
        <f aca="false">1-POWER(J118/E118,0.1)</f>
        <v>0.144965971311141</v>
      </c>
      <c r="P118" s="0" t="n">
        <f aca="false">E118*(1+Assumptions!$B$8)+Assumptions!$B$9</f>
        <v>45130</v>
      </c>
      <c r="Q118" s="0" t="n">
        <f aca="false">IF(D118=1,Assumptions!$B$14*33.7,Assumptions!$B$13)</f>
        <v>5.729</v>
      </c>
      <c r="R118" s="0" t="n">
        <f aca="false">(Assumptions!$B$10/I118)*Q118</f>
        <v>489.65811965812</v>
      </c>
      <c r="S118" s="0" t="n">
        <f aca="false">Assumptions!$B$15+Assumptions!$B$17</f>
        <v>1750</v>
      </c>
      <c r="T118" s="0" t="n">
        <f aca="false">Assumptions!$B$15*(1+Assumptions!$B$16)+Assumptions!$B$17</f>
        <v>1942</v>
      </c>
      <c r="U118" s="0" t="n">
        <f aca="false">IF(OR(C118&gt;Assumptions!$B$11,Assumptions!$B$10*C118&gt;Assumptions!$B$12),1,0)</f>
        <v>0</v>
      </c>
      <c r="V118" s="0" t="n">
        <f aca="false">MAX(0.6,1-Assumptions!$B$22*MAX(0,(Assumptions!$B$10-10000)*C118)/10000)</f>
        <v>1</v>
      </c>
      <c r="W118" s="0" t="n">
        <f aca="false">IF(U118=1,Assumptions!$B$23,MAX(Assumptions!$B$23,E118*POWER(1-O118,C118)*V118))</f>
        <v>16646.0039741299</v>
      </c>
      <c r="X118" s="0" t="n">
        <f aca="true">SUMPRODUCT((ROW(INDIRECT("1:"&amp;C118))&gt;Assumptions!$B$20)*Assumptions!$B$18*POWER(Assumptions!$B$19,ROW(INDIRECT("1:"&amp;C118))-Assumptions!$B$20-1)*IF(ROW(INDIRECT("1:"&amp;C118))&gt;Assumptions!$B$11,Assumptions!$B$21,1)/POWER(1+Assumptions!$B$2,ROW(INDIRECT("1:"&amp;C118))))</f>
        <v>2475.151938064</v>
      </c>
      <c r="Y118" s="1" t="n">
        <f aca="false">-PV(Assumptions!$B$2,C118,R118+S118)+X118</f>
        <v>13952.8487420725</v>
      </c>
      <c r="Z118" s="1" t="n">
        <f aca="false">P118+Y118-(W118/POWER(1+Assumptions!$B$2,C118))</f>
        <v>46446.2584780136</v>
      </c>
      <c r="AA118" s="0" t="n">
        <f aca="false">P118*Assumptions!$B$7</f>
        <v>4513</v>
      </c>
      <c r="AB118" s="0" t="n">
        <f aca="false">P118-AA118</f>
        <v>40617</v>
      </c>
      <c r="AC118" s="1" t="n">
        <f aca="false">PMT(Assumptions!$B$5,Assumptions!$B$6,-AB118)</f>
        <v>804.073663221</v>
      </c>
      <c r="AD118" s="0" t="n">
        <f aca="false">C118*12</f>
        <v>72</v>
      </c>
      <c r="AE118" s="0" t="n">
        <f aca="false">MIN(Assumptions!$B$6,AD118)</f>
        <v>60</v>
      </c>
      <c r="AF118" s="0" t="n">
        <f aca="false">IF(AD118&gt;=Assumptions!$B$6,0,-PV(Assumptions!$B$5,Assumptions!$B$6-AD118,AC118))</f>
        <v>0</v>
      </c>
      <c r="AG118" s="1" t="n">
        <f aca="false">AA118+(-PV(Assumptions!$B$3,AE118,AC118))+Y118-((W118-AF118)/POWER(1+Assumptions!$B$2,C118))</f>
        <v>48749.5856691801</v>
      </c>
      <c r="AH118" s="0" t="n">
        <f aca="false">H118/12</f>
        <v>3</v>
      </c>
      <c r="AI118" s="0" t="n">
        <f aca="false">MAX(0,Assumptions!$B$10-Assumptions!$B$24)*Assumptions!$B$25</f>
        <v>0</v>
      </c>
      <c r="AJ118" s="1" t="n">
        <f aca="false">F118+Assumptions!$B$27+(-PV(Assumptions!$B$3,H118-1,G118))</f>
        <v>15613.5177229546</v>
      </c>
      <c r="AK118" s="0" t="n">
        <f aca="false">CEILING(C118/AH118,1)</f>
        <v>2</v>
      </c>
      <c r="AL118" s="0" t="n">
        <f aca="false">(1+Assumptions!$B$26)/POWER(1+Assumptions!$B$2,AH118)</f>
        <v>0.906135810905202</v>
      </c>
      <c r="AM118" s="0" t="n">
        <f aca="false">IF(ABS(1-AL118)&lt;0.000000000001,AK118,(1-POWER(AL118,AK118))/(1-AL118))</f>
        <v>1.9061358109052</v>
      </c>
      <c r="AN118" s="0" t="n">
        <f aca="false">1/POWER(1+Assumptions!$B$2,AH118)</f>
        <v>0.871284433562695</v>
      </c>
      <c r="AO118" s="0" t="n">
        <f aca="false">IF(ABS(1-AN118)&lt;0.000000000001,AK118,AN118*(1-POWER(AN118,AK118))/(1-AN118))</f>
        <v>1.63042099773136</v>
      </c>
      <c r="AP118" s="1" t="n">
        <f aca="false">AJ118*AM118+Assumptions!$B$28*AO118+(-PV(Assumptions!$B$2,C118,R118+T118+AI118))</f>
        <v>42875.3032281687</v>
      </c>
      <c r="AQ118" s="0" t="n">
        <f aca="false">N118*(1+Assumptions!$B$8)</f>
        <v>21917.7</v>
      </c>
      <c r="AR118" s="1" t="n">
        <f aca="false">PMT(Assumptions!$B$5,Assumptions!$B$29,-AQ118)</f>
        <v>676.65473930166</v>
      </c>
      <c r="AS118" s="0" t="n">
        <f aca="false">MAX(0,AD118-H118)</f>
        <v>36</v>
      </c>
      <c r="AT118" s="0" t="n">
        <f aca="false">MIN(Assumptions!$B$29,AS118)</f>
        <v>36</v>
      </c>
      <c r="AU118" s="0" t="n">
        <f aca="false">IF(AS118&gt;=Assumptions!$B$29,0,-PV(Assumptions!$B$5,Assumptions!$B$29-AS118,AR118))</f>
        <v>0</v>
      </c>
      <c r="AV118" s="1" t="n">
        <f aca="false">(-PV(Assumptions!$B$3,AT118,AR118))/POWER(1+Assumptions!$B$2,AH118)</f>
        <v>19759.7212316418</v>
      </c>
      <c r="AW118" s="1" t="n">
        <f aca="false">-PV(Assumptions!$B$2,AH118,T118+AI118)</f>
        <v>5318.41766002654</v>
      </c>
      <c r="AX118" s="1" t="n">
        <f aca="false">(-PV(Assumptions!$B$2,C118,S118))-(-PV(Assumptions!$B$2,AH118,S118))</f>
        <v>4175.71854126704</v>
      </c>
      <c r="AY118" s="1" t="n">
        <f aca="false">AJ118+AW118+AX118+(-PV(Assumptions!$B$2,C118,R118))+X118-(W118/POWER(1+Assumptions!$B$2,C118))</f>
        <v>17455.59298301</v>
      </c>
      <c r="AZ118" s="1" t="n">
        <f aca="false">AY118+AV118+(AU118/POWER(1+Assumptions!$B$2,C118))</f>
        <v>37215.3142146518</v>
      </c>
      <c r="BA118" s="0" t="n">
        <f aca="false">AQ118/POWER(1+Assumptions!$B$2,AH118)</f>
        <v>19096.5508294971</v>
      </c>
      <c r="BB118" s="1" t="n">
        <f aca="false">AY118+BA118</f>
        <v>36552.1438125071</v>
      </c>
      <c r="BC118" s="1" t="n">
        <f aca="false">AJ118+Assumptions!$B$28/POWER(1+Assumptions!$B$2,AH118)+(-PV(Assumptions!$B$2,AH118,R118+T118+AI118))</f>
        <v>22621.4411187981</v>
      </c>
      <c r="BD118" s="1" t="n">
        <f aca="false">MIN(Z118,AG118,AZ118)</f>
        <v>37215.3142146518</v>
      </c>
      <c r="BE118" s="0" t="str">
        <f aca="false">IF(BD118=Z118,"Cash",IF(BD118=AG118,"Loan","Lease then buy out"))</f>
        <v>Lease then buy out</v>
      </c>
    </row>
    <row r="119" customFormat="false" ht="15" hidden="false" customHeight="false" outlineLevel="0" collapsed="false">
      <c r="A119" s="0" t="s">
        <v>67</v>
      </c>
      <c r="B119" s="0" t="s">
        <v>102</v>
      </c>
      <c r="C119" s="0" t="n">
        <v>6</v>
      </c>
      <c r="D119" s="0" t="n">
        <v>0</v>
      </c>
      <c r="E119" s="0" t="n">
        <v>24995</v>
      </c>
      <c r="F119" s="0" t="n">
        <v>4499</v>
      </c>
      <c r="G119" s="0" t="n">
        <v>179</v>
      </c>
      <c r="H119" s="0" t="n">
        <v>36</v>
      </c>
      <c r="I119" s="0" t="n">
        <v>26</v>
      </c>
      <c r="J119" s="0" t="n">
        <v>9787</v>
      </c>
      <c r="K119" s="0" t="s">
        <v>99</v>
      </c>
      <c r="L119" s="0" t="n">
        <v>115.1</v>
      </c>
      <c r="M119" s="0" t="n">
        <f aca="false">MAX(Assumptions!$B$33,Assumptions!$B$30-Assumptions!$B$31*(H119-36)-IF(D119=1,Assumptions!$B$32,0))</f>
        <v>0.57</v>
      </c>
      <c r="N119" s="0" t="n">
        <f aca="false">E119*M119</f>
        <v>14247.15</v>
      </c>
      <c r="O119" s="0" t="n">
        <f aca="false">1-POWER(J119/E119,0.1)</f>
        <v>0.0895006402886055</v>
      </c>
      <c r="P119" s="0" t="n">
        <f aca="false">E119*(1+Assumptions!$B$8)+Assumptions!$B$9</f>
        <v>26644.75</v>
      </c>
      <c r="Q119" s="0" t="n">
        <f aca="false">IF(D119=1,Assumptions!$B$14*33.7,Assumptions!$B$13)</f>
        <v>3.1</v>
      </c>
      <c r="R119" s="0" t="n">
        <f aca="false">(Assumptions!$B$10/I119)*Q119</f>
        <v>1192.30769230769</v>
      </c>
      <c r="S119" s="0" t="n">
        <f aca="false">Assumptions!$B$15+Assumptions!$B$17</f>
        <v>1750</v>
      </c>
      <c r="T119" s="0" t="n">
        <f aca="false">Assumptions!$B$15*(1+Assumptions!$B$16)+Assumptions!$B$17</f>
        <v>1942</v>
      </c>
      <c r="U119" s="0" t="n">
        <f aca="false">IF(OR(C119&gt;Assumptions!$B$11,Assumptions!$B$10*C119&gt;Assumptions!$B$12),1,0)</f>
        <v>0</v>
      </c>
      <c r="V119" s="0" t="n">
        <f aca="false">MAX(0.6,1-Assumptions!$B$22*MAX(0,(Assumptions!$B$10-10000)*C119)/10000)</f>
        <v>1</v>
      </c>
      <c r="W119" s="0" t="n">
        <f aca="false">IF(U119=1,Assumptions!$B$23,MAX(Assumptions!$B$23,E119*POWER(1-O119,C119)*V119))</f>
        <v>14240.6892416309</v>
      </c>
      <c r="X119" s="0" t="n">
        <f aca="true">SUMPRODUCT((ROW(INDIRECT("1:"&amp;C119))&gt;Assumptions!$B$20)*Assumptions!$B$18*POWER(Assumptions!$B$19,ROW(INDIRECT("1:"&amp;C119))-Assumptions!$B$20-1)*IF(ROW(INDIRECT("1:"&amp;C119))&gt;Assumptions!$B$11,Assumptions!$B$21,1)/POWER(1+Assumptions!$B$2,ROW(INDIRECT("1:"&amp;C119))))</f>
        <v>2475.151938064</v>
      </c>
      <c r="Y119" s="1" t="n">
        <f aca="false">-PV(Assumptions!$B$2,C119,R119+S119)+X119</f>
        <v>17553.7549176852</v>
      </c>
      <c r="Z119" s="1" t="n">
        <f aca="false">P119+Y119-(W119/POWER(1+Assumptions!$B$2,C119))</f>
        <v>33387.8770153998</v>
      </c>
      <c r="AA119" s="0" t="n">
        <f aca="false">P119*Assumptions!$B$7</f>
        <v>2664.475</v>
      </c>
      <c r="AB119" s="0" t="n">
        <f aca="false">P119-AA119</f>
        <v>23980.275</v>
      </c>
      <c r="AC119" s="1" t="n">
        <f aca="false">PMT(Assumptions!$B$5,Assumptions!$B$6,-AB119)</f>
        <v>474.725055132013</v>
      </c>
      <c r="AD119" s="0" t="n">
        <f aca="false">C119*12</f>
        <v>72</v>
      </c>
      <c r="AE119" s="0" t="n">
        <f aca="false">MIN(Assumptions!$B$6,AD119)</f>
        <v>60</v>
      </c>
      <c r="AF119" s="0" t="n">
        <f aca="false">IF(AD119&gt;=Assumptions!$B$6,0,-PV(Assumptions!$B$5,Assumptions!$B$6-AD119,AC119))</f>
        <v>0</v>
      </c>
      <c r="AG119" s="1" t="n">
        <f aca="false">AA119+(-PV(Assumptions!$B$3,AE119,AC119))+Y119-((W119-AF119)/POWER(1+Assumptions!$B$2,C119))</f>
        <v>34747.7612869893</v>
      </c>
      <c r="AH119" s="0" t="n">
        <f aca="false">H119/12</f>
        <v>3</v>
      </c>
      <c r="AI119" s="0" t="n">
        <f aca="false">MAX(0,Assumptions!$B$10-Assumptions!$B$24)*Assumptions!$B$25</f>
        <v>0</v>
      </c>
      <c r="AJ119" s="1" t="n">
        <f aca="false">F119+Assumptions!$B$27+(-PV(Assumptions!$B$3,H119-1,G119))</f>
        <v>11042.8829856078</v>
      </c>
      <c r="AK119" s="0" t="n">
        <f aca="false">CEILING(C119/AH119,1)</f>
        <v>2</v>
      </c>
      <c r="AL119" s="0" t="n">
        <f aca="false">(1+Assumptions!$B$26)/POWER(1+Assumptions!$B$2,AH119)</f>
        <v>0.906135810905202</v>
      </c>
      <c r="AM119" s="0" t="n">
        <f aca="false">IF(ABS(1-AL119)&lt;0.000000000001,AK119,(1-POWER(AL119,AK119))/(1-AL119))</f>
        <v>1.9061358109052</v>
      </c>
      <c r="AN119" s="0" t="n">
        <f aca="false">1/POWER(1+Assumptions!$B$2,AH119)</f>
        <v>0.871284433562695</v>
      </c>
      <c r="AO119" s="0" t="n">
        <f aca="false">IF(ABS(1-AN119)&lt;0.000000000001,AK119,AN119*(1-POWER(AN119,AK119))/(1-AN119))</f>
        <v>1.63042099773136</v>
      </c>
      <c r="AP119" s="1" t="n">
        <f aca="false">AJ119*AM119+Assumptions!$B$28*AO119+(-PV(Assumptions!$B$2,C119,R119+T119+AI119))</f>
        <v>37763.9588523572</v>
      </c>
      <c r="AQ119" s="0" t="n">
        <f aca="false">N119*(1+Assumptions!$B$8)</f>
        <v>14959.5075</v>
      </c>
      <c r="AR119" s="1" t="n">
        <f aca="false">PMT(Assumptions!$B$5,Assumptions!$B$29,-AQ119)</f>
        <v>461.837767990881</v>
      </c>
      <c r="AS119" s="0" t="n">
        <f aca="false">MAX(0,AD119-H119)</f>
        <v>36</v>
      </c>
      <c r="AT119" s="0" t="n">
        <f aca="false">MIN(Assumptions!$B$29,AS119)</f>
        <v>36</v>
      </c>
      <c r="AU119" s="0" t="n">
        <f aca="false">IF(AS119&gt;=Assumptions!$B$29,0,-PV(Assumptions!$B$5,Assumptions!$B$29-AS119,AR119))</f>
        <v>0</v>
      </c>
      <c r="AV119" s="1" t="n">
        <f aca="false">(-PV(Assumptions!$B$3,AT119,AR119))/POWER(1+Assumptions!$B$2,AH119)</f>
        <v>13486.6203097339</v>
      </c>
      <c r="AW119" s="1" t="n">
        <f aca="false">-PV(Assumptions!$B$2,AH119,T119+AI119)</f>
        <v>5318.41766002654</v>
      </c>
      <c r="AX119" s="1" t="n">
        <f aca="false">(-PV(Assumptions!$B$2,C119,S119))-(-PV(Assumptions!$B$2,AH119,S119))</f>
        <v>4175.71854126704</v>
      </c>
      <c r="AY119" s="1" t="n">
        <f aca="false">AJ119+AW119+AX119+(-PV(Assumptions!$B$2,C119,R119))+X119-(W119/POWER(1+Assumptions!$B$2,C119))</f>
        <v>18311.8267830493</v>
      </c>
      <c r="AZ119" s="1" t="n">
        <f aca="false">AY119+AV119+(AU119/POWER(1+Assumptions!$B$2,C119))</f>
        <v>31798.4470927833</v>
      </c>
      <c r="BA119" s="0" t="n">
        <f aca="false">AQ119/POWER(1+Assumptions!$B$2,AH119)</f>
        <v>13033.9860185144</v>
      </c>
      <c r="BB119" s="1" t="n">
        <f aca="false">AY119+BA119</f>
        <v>31345.8128015637</v>
      </c>
      <c r="BC119" s="1" t="n">
        <f aca="false">AJ119+Assumptions!$B$28/POWER(1+Assumptions!$B$2,AH119)+(-PV(Assumptions!$B$2,AH119,R119+T119+AI119))</f>
        <v>19975.1029293347</v>
      </c>
      <c r="BD119" s="1" t="n">
        <f aca="false">MIN(Z119,AG119,AZ119)</f>
        <v>31798.4470927833</v>
      </c>
      <c r="BE119" s="0" t="str">
        <f aca="false">IF(BD119=Z119,"Cash",IF(BD119=AG119,"Loan","Lease then buy out"))</f>
        <v>Lease then buy out</v>
      </c>
    </row>
    <row r="120" customFormat="false" ht="15" hidden="false" customHeight="false" outlineLevel="0" collapsed="false">
      <c r="A120" s="0" t="s">
        <v>103</v>
      </c>
      <c r="B120" s="0" t="s">
        <v>104</v>
      </c>
      <c r="C120" s="0" t="n">
        <v>6</v>
      </c>
      <c r="D120" s="0" t="n">
        <v>0</v>
      </c>
      <c r="E120" s="0" t="n">
        <v>38800</v>
      </c>
      <c r="F120" s="0" t="n">
        <v>3999</v>
      </c>
      <c r="G120" s="0" t="n">
        <v>379</v>
      </c>
      <c r="H120" s="0" t="n">
        <v>36</v>
      </c>
      <c r="I120" s="0" t="n">
        <v>24</v>
      </c>
      <c r="J120" s="0" t="n">
        <v>14420</v>
      </c>
      <c r="K120" s="0" t="s">
        <v>99</v>
      </c>
      <c r="L120" s="0" t="n">
        <v>100.3</v>
      </c>
      <c r="M120" s="0" t="n">
        <f aca="false">MAX(Assumptions!$B$33,Assumptions!$B$30-Assumptions!$B$31*(H120-36)-IF(D120=1,Assumptions!$B$32,0))</f>
        <v>0.57</v>
      </c>
      <c r="N120" s="0" t="n">
        <f aca="false">E120*M120</f>
        <v>22116</v>
      </c>
      <c r="O120" s="0" t="n">
        <f aca="false">1-POWER(J120/E120,0.1)</f>
        <v>0.0942395496410304</v>
      </c>
      <c r="P120" s="0" t="n">
        <f aca="false">E120*(1+Assumptions!$B$8)+Assumptions!$B$9</f>
        <v>41140</v>
      </c>
      <c r="Q120" s="0" t="n">
        <f aca="false">IF(D120=1,Assumptions!$B$14*33.7,Assumptions!$B$13)</f>
        <v>3.1</v>
      </c>
      <c r="R120" s="0" t="n">
        <f aca="false">(Assumptions!$B$10/I120)*Q120</f>
        <v>1291.66666666667</v>
      </c>
      <c r="S120" s="0" t="n">
        <f aca="false">Assumptions!$B$15+Assumptions!$B$17</f>
        <v>1750</v>
      </c>
      <c r="T120" s="0" t="n">
        <f aca="false">Assumptions!$B$15*(1+Assumptions!$B$16)+Assumptions!$B$17</f>
        <v>1942</v>
      </c>
      <c r="U120" s="0" t="n">
        <f aca="false">IF(OR(C120&gt;Assumptions!$B$11,Assumptions!$B$10*C120&gt;Assumptions!$B$12),1,0)</f>
        <v>0</v>
      </c>
      <c r="V120" s="0" t="n">
        <f aca="false">MAX(0.6,1-Assumptions!$B$22*MAX(0,(Assumptions!$B$10-10000)*C120)/10000)</f>
        <v>1</v>
      </c>
      <c r="W120" s="0" t="n">
        <f aca="false">IF(U120=1,Assumptions!$B$23,MAX(Assumptions!$B$23,E120*POWER(1-O120,C120)*V120))</f>
        <v>21424.5567916496</v>
      </c>
      <c r="X120" s="0" t="n">
        <f aca="true">SUMPRODUCT((ROW(INDIRECT("1:"&amp;C120))&gt;Assumptions!$B$20)*Assumptions!$B$18*POWER(Assumptions!$B$19,ROW(INDIRECT("1:"&amp;C120))-Assumptions!$B$20-1)*IF(ROW(INDIRECT("1:"&amp;C120))&gt;Assumptions!$B$11,Assumptions!$B$21,1)/POWER(1+Assumptions!$B$2,ROW(INDIRECT("1:"&amp;C120))))</f>
        <v>2475.151938064</v>
      </c>
      <c r="Y120" s="1" t="n">
        <f aca="false">-PV(Assumptions!$B$2,C120,R120+S120)+X120</f>
        <v>18062.9452143826</v>
      </c>
      <c r="Z120" s="1" t="n">
        <f aca="false">P120+Y120-(W120/POWER(1+Assumptions!$B$2,C120))</f>
        <v>42938.7807827333</v>
      </c>
      <c r="AA120" s="0" t="n">
        <f aca="false">P120*Assumptions!$B$7</f>
        <v>4114</v>
      </c>
      <c r="AB120" s="0" t="n">
        <f aca="false">P120-AA120</f>
        <v>37026</v>
      </c>
      <c r="AC120" s="1" t="n">
        <f aca="false">PMT(Assumptions!$B$5,Assumptions!$B$6,-AB120)</f>
        <v>732.984500441213</v>
      </c>
      <c r="AD120" s="0" t="n">
        <f aca="false">C120*12</f>
        <v>72</v>
      </c>
      <c r="AE120" s="0" t="n">
        <f aca="false">MIN(Assumptions!$B$6,AD120)</f>
        <v>60</v>
      </c>
      <c r="AF120" s="0" t="n">
        <f aca="false">IF(AD120&gt;=Assumptions!$B$6,0,-PV(Assumptions!$B$5,Assumptions!$B$6-AD120,AC120))</f>
        <v>0</v>
      </c>
      <c r="AG120" s="1" t="n">
        <f aca="false">AA120+(-PV(Assumptions!$B$3,AE120,AC120))+Y120-((W120-AF120)/POWER(1+Assumptions!$B$2,C120))</f>
        <v>45038.4679230964</v>
      </c>
      <c r="AH120" s="0" t="n">
        <f aca="false">H120/12</f>
        <v>3</v>
      </c>
      <c r="AI120" s="0" t="n">
        <f aca="false">MAX(0,Assumptions!$B$10-Assumptions!$B$24)*Assumptions!$B$25</f>
        <v>0</v>
      </c>
      <c r="AJ120" s="1" t="n">
        <f aca="false">F120+Assumptions!$B$27+(-PV(Assumptions!$B$3,H120-1,G120))</f>
        <v>17072.3611818175</v>
      </c>
      <c r="AK120" s="0" t="n">
        <f aca="false">CEILING(C120/AH120,1)</f>
        <v>2</v>
      </c>
      <c r="AL120" s="0" t="n">
        <f aca="false">(1+Assumptions!$B$26)/POWER(1+Assumptions!$B$2,AH120)</f>
        <v>0.906135810905202</v>
      </c>
      <c r="AM120" s="0" t="n">
        <f aca="false">IF(ABS(1-AL120)&lt;0.000000000001,AK120,(1-POWER(AL120,AK120))/(1-AL120))</f>
        <v>1.9061358109052</v>
      </c>
      <c r="AN120" s="0" t="n">
        <f aca="false">1/POWER(1+Assumptions!$B$2,AH120)</f>
        <v>0.871284433562695</v>
      </c>
      <c r="AO120" s="0" t="n">
        <f aca="false">IF(ABS(1-AN120)&lt;0.000000000001,AK120,AN120*(1-POWER(AN120,AK120))/(1-AN120))</f>
        <v>1.63042099773136</v>
      </c>
      <c r="AP120" s="1" t="n">
        <f aca="false">AJ120*AM120+Assumptions!$B$28*AO120+(-PV(Assumptions!$B$2,C120,R120+T120+AI120))</f>
        <v>49766.1534599222</v>
      </c>
      <c r="AQ120" s="0" t="n">
        <f aca="false">N120*(1+Assumptions!$B$8)</f>
        <v>23221.8</v>
      </c>
      <c r="AR120" s="1" t="n">
        <f aca="false">PMT(Assumptions!$B$5,Assumptions!$B$29,-AQ120)</f>
        <v>716.915599041655</v>
      </c>
      <c r="AS120" s="0" t="n">
        <f aca="false">MAX(0,AD120-H120)</f>
        <v>36</v>
      </c>
      <c r="AT120" s="0" t="n">
        <f aca="false">MIN(Assumptions!$B$29,AS120)</f>
        <v>36</v>
      </c>
      <c r="AU120" s="0" t="n">
        <f aca="false">IF(AS120&gt;=Assumptions!$B$29,0,-PV(Assumptions!$B$5,Assumptions!$B$29-AS120,AR120))</f>
        <v>0</v>
      </c>
      <c r="AV120" s="1" t="n">
        <f aca="false">(-PV(Assumptions!$B$3,AT120,AR120))/POWER(1+Assumptions!$B$2,AH120)</f>
        <v>20935.421805068</v>
      </c>
      <c r="AW120" s="1" t="n">
        <f aca="false">-PV(Assumptions!$B$2,AH120,T120+AI120)</f>
        <v>5318.41766002654</v>
      </c>
      <c r="AX120" s="1" t="n">
        <f aca="false">(-PV(Assumptions!$B$2,C120,S120))-(-PV(Assumptions!$B$2,AH120,S120))</f>
        <v>4175.71854126704</v>
      </c>
      <c r="AY120" s="1" t="n">
        <f aca="false">AJ120+AW120+AX120+(-PV(Assumptions!$B$2,C120,R120))+X120-(W120/POWER(1+Assumptions!$B$2,C120))</f>
        <v>19396.9587465926</v>
      </c>
      <c r="AZ120" s="1" t="n">
        <f aca="false">AY120+AV120+(AU120/POWER(1+Assumptions!$B$2,C120))</f>
        <v>40332.3805516606</v>
      </c>
      <c r="BA120" s="0" t="n">
        <f aca="false">AQ120/POWER(1+Assumptions!$B$2,AH120)</f>
        <v>20232.7928593062</v>
      </c>
      <c r="BB120" s="1" t="n">
        <f aca="false">AY120+BA120</f>
        <v>39629.7516058988</v>
      </c>
      <c r="BC120" s="1" t="n">
        <f aca="false">AJ120+Assumptions!$B$28/POWER(1+Assumptions!$B$2,AH120)+(-PV(Assumptions!$B$2,AH120,R120+T120+AI120))</f>
        <v>26276.6885014008</v>
      </c>
      <c r="BD120" s="1" t="n">
        <f aca="false">MIN(Z120,AG120,AZ120)</f>
        <v>40332.3805516606</v>
      </c>
      <c r="BE120" s="0" t="str">
        <f aca="false">IF(BD120=Z120,"Cash",IF(BD120=AG120,"Loan","Lease then buy out"))</f>
        <v>Lease then buy out</v>
      </c>
    </row>
    <row r="121" customFormat="false" ht="15" hidden="false" customHeight="false" outlineLevel="0" collapsed="false">
      <c r="A121" s="0" t="s">
        <v>105</v>
      </c>
      <c r="B121" s="0" t="s">
        <v>106</v>
      </c>
      <c r="C121" s="0" t="n">
        <v>6</v>
      </c>
      <c r="D121" s="0" t="n">
        <v>0</v>
      </c>
      <c r="E121" s="0" t="n">
        <v>41330</v>
      </c>
      <c r="F121" s="0" t="n">
        <v>2951</v>
      </c>
      <c r="G121" s="0" t="n">
        <v>451</v>
      </c>
      <c r="H121" s="0" t="n">
        <v>36</v>
      </c>
      <c r="I121" s="0" t="n">
        <v>24</v>
      </c>
      <c r="J121" s="0" t="n">
        <v>11099</v>
      </c>
      <c r="K121" s="0" t="s">
        <v>107</v>
      </c>
      <c r="L121" s="0" t="n">
        <v>154.9</v>
      </c>
      <c r="M121" s="0" t="n">
        <f aca="false">MAX(Assumptions!$B$33,Assumptions!$B$30-Assumptions!$B$31*(H121-36)-IF(D121=1,Assumptions!$B$32,0))</f>
        <v>0.57</v>
      </c>
      <c r="N121" s="0" t="n">
        <f aca="false">E121*M121</f>
        <v>23558.1</v>
      </c>
      <c r="O121" s="0" t="n">
        <f aca="false">1-POWER(J121/E121,0.1)</f>
        <v>0.123197368409735</v>
      </c>
      <c r="P121" s="0" t="n">
        <f aca="false">E121*(1+Assumptions!$B$8)+Assumptions!$B$9</f>
        <v>43796.5</v>
      </c>
      <c r="Q121" s="0" t="n">
        <f aca="false">IF(D121=1,Assumptions!$B$14*33.7,Assumptions!$B$13)</f>
        <v>3.1</v>
      </c>
      <c r="R121" s="0" t="n">
        <f aca="false">(Assumptions!$B$10/I121)*Q121</f>
        <v>1291.66666666667</v>
      </c>
      <c r="S121" s="0" t="n">
        <f aca="false">Assumptions!$B$15+Assumptions!$B$17</f>
        <v>1750</v>
      </c>
      <c r="T121" s="0" t="n">
        <f aca="false">Assumptions!$B$15*(1+Assumptions!$B$16)+Assumptions!$B$17</f>
        <v>1942</v>
      </c>
      <c r="U121" s="0" t="n">
        <f aca="false">IF(OR(C121&gt;Assumptions!$B$11,Assumptions!$B$10*C121&gt;Assumptions!$B$12),1,0)</f>
        <v>0</v>
      </c>
      <c r="V121" s="0" t="n">
        <f aca="false">MAX(0.6,1-Assumptions!$B$22*MAX(0,(Assumptions!$B$10-10000)*C121)/10000)</f>
        <v>1</v>
      </c>
      <c r="W121" s="0" t="n">
        <f aca="false">IF(U121=1,Assumptions!$B$23,MAX(Assumptions!$B$23,E121*POWER(1-O121,C121)*V121))</f>
        <v>18779.173437735</v>
      </c>
      <c r="X121" s="0" t="n">
        <f aca="true">SUMPRODUCT((ROW(INDIRECT("1:"&amp;C121))&gt;Assumptions!$B$20)*Assumptions!$B$18*POWER(Assumptions!$B$19,ROW(INDIRECT("1:"&amp;C121))-Assumptions!$B$20-1)*IF(ROW(INDIRECT("1:"&amp;C121))&gt;Assumptions!$B$11,Assumptions!$B$21,1)/POWER(1+Assumptions!$B$2,ROW(INDIRECT("1:"&amp;C121))))</f>
        <v>2475.151938064</v>
      </c>
      <c r="Y121" s="1" t="n">
        <f aca="false">-PV(Assumptions!$B$2,C121,R121+S121)+X121</f>
        <v>18062.9452143826</v>
      </c>
      <c r="Z121" s="1" t="n">
        <f aca="false">P121+Y121-(W121/POWER(1+Assumptions!$B$2,C121))</f>
        <v>47603.488012933</v>
      </c>
      <c r="AA121" s="0" t="n">
        <f aca="false">P121*Assumptions!$B$7</f>
        <v>4379.65</v>
      </c>
      <c r="AB121" s="0" t="n">
        <f aca="false">P121-AA121</f>
        <v>39416.85</v>
      </c>
      <c r="AC121" s="1" t="n">
        <f aca="false">PMT(Assumptions!$B$5,Assumptions!$B$6,-AB121)</f>
        <v>780.314916713019</v>
      </c>
      <c r="AD121" s="0" t="n">
        <f aca="false">C121*12</f>
        <v>72</v>
      </c>
      <c r="AE121" s="0" t="n">
        <f aca="false">MIN(Assumptions!$B$6,AD121)</f>
        <v>60</v>
      </c>
      <c r="AF121" s="0" t="n">
        <f aca="false">IF(AD121&gt;=Assumptions!$B$6,0,-PV(Assumptions!$B$5,Assumptions!$B$6-AD121,AC121))</f>
        <v>0</v>
      </c>
      <c r="AG121" s="1" t="n">
        <f aca="false">AA121+(-PV(Assumptions!$B$3,AE121,AC121))+Y121-((W121-AF121)/POWER(1+Assumptions!$B$2,C121))</f>
        <v>49838.7565555415</v>
      </c>
      <c r="AH121" s="0" t="n">
        <f aca="false">H121/12</f>
        <v>3</v>
      </c>
      <c r="AI121" s="0" t="n">
        <f aca="false">MAX(0,Assumptions!$B$10-Assumptions!$B$24)*Assumptions!$B$25</f>
        <v>0</v>
      </c>
      <c r="AJ121" s="1" t="n">
        <f aca="false">F121+Assumptions!$B$27+(-PV(Assumptions!$B$3,H121-1,G121))</f>
        <v>18374.973332453</v>
      </c>
      <c r="AK121" s="0" t="n">
        <f aca="false">CEILING(C121/AH121,1)</f>
        <v>2</v>
      </c>
      <c r="AL121" s="0" t="n">
        <f aca="false">(1+Assumptions!$B$26)/POWER(1+Assumptions!$B$2,AH121)</f>
        <v>0.906135810905202</v>
      </c>
      <c r="AM121" s="0" t="n">
        <f aca="false">IF(ABS(1-AL121)&lt;0.000000000001,AK121,(1-POWER(AL121,AK121))/(1-AL121))</f>
        <v>1.9061358109052</v>
      </c>
      <c r="AN121" s="0" t="n">
        <f aca="false">1/POWER(1+Assumptions!$B$2,AH121)</f>
        <v>0.871284433562695</v>
      </c>
      <c r="AO121" s="0" t="n">
        <f aca="false">IF(ABS(1-AN121)&lt;0.000000000001,AK121,AN121*(1-POWER(AN121,AK121))/(1-AN121))</f>
        <v>1.63042099773136</v>
      </c>
      <c r="AP121" s="1" t="n">
        <f aca="false">AJ121*AM121+Assumptions!$B$28*AO121+(-PV(Assumptions!$B$2,C121,R121+T121+AI121))</f>
        <v>52249.1091279688</v>
      </c>
      <c r="AQ121" s="0" t="n">
        <f aca="false">N121*(1+Assumptions!$B$8)</f>
        <v>24736.005</v>
      </c>
      <c r="AR121" s="1" t="n">
        <f aca="false">PMT(Assumptions!$B$5,Assumptions!$B$29,-AQ121)</f>
        <v>763.66293062865</v>
      </c>
      <c r="AS121" s="0" t="n">
        <f aca="false">MAX(0,AD121-H121)</f>
        <v>36</v>
      </c>
      <c r="AT121" s="0" t="n">
        <f aca="false">MIN(Assumptions!$B$29,AS121)</f>
        <v>36</v>
      </c>
      <c r="AU121" s="0" t="n">
        <f aca="false">IF(AS121&gt;=Assumptions!$B$29,0,-PV(Assumptions!$B$5,Assumptions!$B$29-AS121,AR121))</f>
        <v>0</v>
      </c>
      <c r="AV121" s="1" t="n">
        <f aca="false">(-PV(Assumptions!$B$3,AT121,AR121))/POWER(1+Assumptions!$B$2,AH121)</f>
        <v>22300.540804213</v>
      </c>
      <c r="AW121" s="1" t="n">
        <f aca="false">-PV(Assumptions!$B$2,AH121,T121+AI121)</f>
        <v>5318.41766002654</v>
      </c>
      <c r="AX121" s="1" t="n">
        <f aca="false">(-PV(Assumptions!$B$2,C121,S121))-(-PV(Assumptions!$B$2,AH121,S121))</f>
        <v>4175.71854126704</v>
      </c>
      <c r="AY121" s="1" t="n">
        <f aca="false">AJ121+AW121+AX121+(-PV(Assumptions!$B$2,C121,R121))+X121-(W121/POWER(1+Assumptions!$B$2,C121))</f>
        <v>22707.7781274278</v>
      </c>
      <c r="AZ121" s="1" t="n">
        <f aca="false">AY121+AV121+(AU121/POWER(1+Assumptions!$B$2,C121))</f>
        <v>45008.3189316408</v>
      </c>
      <c r="BA121" s="0" t="n">
        <f aca="false">AQ121/POWER(1+Assumptions!$B$2,AH121)</f>
        <v>21552.096105029</v>
      </c>
      <c r="BB121" s="1" t="n">
        <f aca="false">AY121+BA121</f>
        <v>44259.8742324568</v>
      </c>
      <c r="BC121" s="1" t="n">
        <f aca="false">AJ121+Assumptions!$B$28/POWER(1+Assumptions!$B$2,AH121)+(-PV(Assumptions!$B$2,AH121,R121+T121+AI121))</f>
        <v>27579.3006520363</v>
      </c>
      <c r="BD121" s="1" t="n">
        <f aca="false">MIN(Z121,AG121,AZ121)</f>
        <v>45008.3189316408</v>
      </c>
      <c r="BE121" s="0" t="str">
        <f aca="false">IF(BD121=Z121,"Cash",IF(BD121=AG121,"Loan","Lease then buy out"))</f>
        <v>Lease then buy out</v>
      </c>
    </row>
    <row r="122" customFormat="false" ht="15" hidden="false" customHeight="false" outlineLevel="0" collapsed="false">
      <c r="A122" s="0" t="s">
        <v>41</v>
      </c>
      <c r="B122" s="0" t="s">
        <v>108</v>
      </c>
      <c r="C122" s="0" t="n">
        <v>6</v>
      </c>
      <c r="D122" s="0" t="n">
        <v>0</v>
      </c>
      <c r="E122" s="0" t="n">
        <v>27500</v>
      </c>
      <c r="F122" s="0" t="n">
        <v>4011</v>
      </c>
      <c r="G122" s="0" t="n">
        <v>251</v>
      </c>
      <c r="H122" s="0" t="n">
        <v>36</v>
      </c>
      <c r="I122" s="0" t="n">
        <v>26</v>
      </c>
      <c r="J122" s="0" t="n">
        <v>8845</v>
      </c>
      <c r="K122" s="0" t="s">
        <v>99</v>
      </c>
      <c r="L122" s="0" t="n">
        <v>174.8</v>
      </c>
      <c r="M122" s="0" t="n">
        <f aca="false">MAX(Assumptions!$B$33,Assumptions!$B$30-Assumptions!$B$31*(H122-36)-IF(D122=1,Assumptions!$B$32,0))</f>
        <v>0.57</v>
      </c>
      <c r="N122" s="0" t="n">
        <f aca="false">E122*M122</f>
        <v>15675</v>
      </c>
      <c r="O122" s="0" t="n">
        <f aca="false">1-POWER(J122/E122,0.1)</f>
        <v>0.107236318678628</v>
      </c>
      <c r="P122" s="0" t="n">
        <f aca="false">E122*(1+Assumptions!$B$8)+Assumptions!$B$9</f>
        <v>29275</v>
      </c>
      <c r="Q122" s="0" t="n">
        <f aca="false">IF(D122=1,Assumptions!$B$14*33.7,Assumptions!$B$13)</f>
        <v>3.1</v>
      </c>
      <c r="R122" s="0" t="n">
        <f aca="false">(Assumptions!$B$10/I122)*Q122</f>
        <v>1192.30769230769</v>
      </c>
      <c r="S122" s="0" t="n">
        <f aca="false">Assumptions!$B$15+Assumptions!$B$17</f>
        <v>1750</v>
      </c>
      <c r="T122" s="0" t="n">
        <f aca="false">Assumptions!$B$15*(1+Assumptions!$B$16)+Assumptions!$B$17</f>
        <v>1942</v>
      </c>
      <c r="U122" s="0" t="n">
        <f aca="false">IF(OR(C122&gt;Assumptions!$B$11,Assumptions!$B$10*C122&gt;Assumptions!$B$12),1,0)</f>
        <v>0</v>
      </c>
      <c r="V122" s="0" t="n">
        <f aca="false">MAX(0.6,1-Assumptions!$B$22*MAX(0,(Assumptions!$B$10-10000)*C122)/10000)</f>
        <v>1</v>
      </c>
      <c r="W122" s="0" t="n">
        <f aca="false">IF(U122=1,Assumptions!$B$23,MAX(Assumptions!$B$23,E122*POWER(1-O122,C122)*V122))</f>
        <v>13923.6077453764</v>
      </c>
      <c r="X122" s="0" t="n">
        <f aca="true">SUMPRODUCT((ROW(INDIRECT("1:"&amp;C122))&gt;Assumptions!$B$20)*Assumptions!$B$18*POWER(Assumptions!$B$19,ROW(INDIRECT("1:"&amp;C122))-Assumptions!$B$20-1)*IF(ROW(INDIRECT("1:"&amp;C122))&gt;Assumptions!$B$11,Assumptions!$B$21,1)/POWER(1+Assumptions!$B$2,ROW(INDIRECT("1:"&amp;C122))))</f>
        <v>2475.151938064</v>
      </c>
      <c r="Y122" s="1" t="n">
        <f aca="false">-PV(Assumptions!$B$2,C122,R122+S122)+X122</f>
        <v>17553.7549176852</v>
      </c>
      <c r="Z122" s="1" t="n">
        <f aca="false">P122+Y122-(W122/POWER(1+Assumptions!$B$2,C122))</f>
        <v>36258.835173028</v>
      </c>
      <c r="AA122" s="0" t="n">
        <f aca="false">P122*Assumptions!$B$7</f>
        <v>2927.5</v>
      </c>
      <c r="AB122" s="0" t="n">
        <f aca="false">P122-AA122</f>
        <v>26347.5</v>
      </c>
      <c r="AC122" s="1" t="n">
        <f aca="false">PMT(Assumptions!$B$5,Assumptions!$B$6,-AB122)</f>
        <v>521.587779543425</v>
      </c>
      <c r="AD122" s="0" t="n">
        <f aca="false">C122*12</f>
        <v>72</v>
      </c>
      <c r="AE122" s="0" t="n">
        <f aca="false">MIN(Assumptions!$B$6,AD122)</f>
        <v>60</v>
      </c>
      <c r="AF122" s="0" t="n">
        <f aca="false">IF(AD122&gt;=Assumptions!$B$6,0,-PV(Assumptions!$B$5,Assumptions!$B$6-AD122,AC122))</f>
        <v>0</v>
      </c>
      <c r="AG122" s="1" t="n">
        <f aca="false">AA122+(-PV(Assumptions!$B$3,AE122,AC122))+Y122-((W122-AF122)/POWER(1+Assumptions!$B$2,C122))</f>
        <v>37752.9611096865</v>
      </c>
      <c r="AH122" s="0" t="n">
        <f aca="false">H122/12</f>
        <v>3</v>
      </c>
      <c r="AI122" s="0" t="n">
        <f aca="false">MAX(0,Assumptions!$B$10-Assumptions!$B$24)*Assumptions!$B$25</f>
        <v>0</v>
      </c>
      <c r="AJ122" s="1" t="n">
        <f aca="false">F122+Assumptions!$B$27+(-PV(Assumptions!$B$3,H122-1,G122))</f>
        <v>12905.4951362433</v>
      </c>
      <c r="AK122" s="0" t="n">
        <f aca="false">CEILING(C122/AH122,1)</f>
        <v>2</v>
      </c>
      <c r="AL122" s="0" t="n">
        <f aca="false">(1+Assumptions!$B$26)/POWER(1+Assumptions!$B$2,AH122)</f>
        <v>0.906135810905202</v>
      </c>
      <c r="AM122" s="0" t="n">
        <f aca="false">IF(ABS(1-AL122)&lt;0.000000000001,AK122,(1-POWER(AL122,AK122))/(1-AL122))</f>
        <v>1.9061358109052</v>
      </c>
      <c r="AN122" s="0" t="n">
        <f aca="false">1/POWER(1+Assumptions!$B$2,AH122)</f>
        <v>0.871284433562695</v>
      </c>
      <c r="AO122" s="0" t="n">
        <f aca="false">IF(ABS(1-AN122)&lt;0.000000000001,AK122,AN122*(1-POWER(AN122,AK122))/(1-AN122))</f>
        <v>1.63042099773136</v>
      </c>
      <c r="AP122" s="1" t="n">
        <f aca="false">AJ122*AM122+Assumptions!$B$28*AO122+(-PV(Assumptions!$B$2,C122,R122+T122+AI122))</f>
        <v>41314.3505745107</v>
      </c>
      <c r="AQ122" s="0" t="n">
        <f aca="false">N122*(1+Assumptions!$B$8)</f>
        <v>16458.75</v>
      </c>
      <c r="AR122" s="1" t="n">
        <f aca="false">PMT(Assumptions!$B$5,Assumptions!$B$29,-AQ122)</f>
        <v>508.123169423854</v>
      </c>
      <c r="AS122" s="0" t="n">
        <f aca="false">MAX(0,AD122-H122)</f>
        <v>36</v>
      </c>
      <c r="AT122" s="0" t="n">
        <f aca="false">MIN(Assumptions!$B$29,AS122)</f>
        <v>36</v>
      </c>
      <c r="AU122" s="0" t="n">
        <f aca="false">IF(AS122&gt;=Assumptions!$B$29,0,-PV(Assumptions!$B$5,Assumptions!$B$29-AS122,AR122))</f>
        <v>0</v>
      </c>
      <c r="AV122" s="1" t="n">
        <f aca="false">(-PV(Assumptions!$B$3,AT122,AR122))/POWER(1+Assumptions!$B$2,AH122)</f>
        <v>14838.2499907055</v>
      </c>
      <c r="AW122" s="1" t="n">
        <f aca="false">-PV(Assumptions!$B$2,AH122,T122+AI122)</f>
        <v>5318.41766002654</v>
      </c>
      <c r="AX122" s="1" t="n">
        <f aca="false">(-PV(Assumptions!$B$2,C122,S122))-(-PV(Assumptions!$B$2,AH122,S122))</f>
        <v>4175.71854126704</v>
      </c>
      <c r="AY122" s="1" t="n">
        <f aca="false">AJ122+AW122+AX122+(-PV(Assumptions!$B$2,C122,R122))+X122-(W122/POWER(1+Assumptions!$B$2,C122))</f>
        <v>20415.147091313</v>
      </c>
      <c r="AZ122" s="1" t="n">
        <f aca="false">AY122+AV122+(AU122/POWER(1+Assumptions!$B$2,C122))</f>
        <v>35253.3970820184</v>
      </c>
      <c r="BA122" s="0" t="n">
        <f aca="false">AQ122/POWER(1+Assumptions!$B$2,AH122)</f>
        <v>14340.2526709</v>
      </c>
      <c r="BB122" s="1" t="n">
        <f aca="false">AY122+BA122</f>
        <v>34755.399762213</v>
      </c>
      <c r="BC122" s="1" t="n">
        <f aca="false">AJ122+Assumptions!$B$28/POWER(1+Assumptions!$B$2,AH122)+(-PV(Assumptions!$B$2,AH122,R122+T122+AI122))</f>
        <v>21837.7150799702</v>
      </c>
      <c r="BD122" s="1" t="n">
        <f aca="false">MIN(Z122,AG122,AZ122)</f>
        <v>35253.3970820184</v>
      </c>
      <c r="BE122" s="0" t="str">
        <f aca="false">IF(BD122=Z122,"Cash",IF(BD122=AG122,"Loan","Lease then buy out"))</f>
        <v>Lease then buy out</v>
      </c>
    </row>
    <row r="123" customFormat="false" ht="15" hidden="false" customHeight="false" outlineLevel="0" collapsed="false">
      <c r="A123" s="0" t="s">
        <v>89</v>
      </c>
      <c r="B123" s="0" t="s">
        <v>109</v>
      </c>
      <c r="C123" s="0" t="n">
        <v>6</v>
      </c>
      <c r="D123" s="0" t="n">
        <v>0</v>
      </c>
      <c r="E123" s="0" t="n">
        <v>54400</v>
      </c>
      <c r="F123" s="0" t="n">
        <v>4999</v>
      </c>
      <c r="G123" s="0" t="n">
        <v>589</v>
      </c>
      <c r="H123" s="0" t="n">
        <v>36</v>
      </c>
      <c r="I123" s="0" t="n">
        <v>25</v>
      </c>
      <c r="J123" s="0" t="n">
        <v>14372</v>
      </c>
      <c r="K123" s="0" t="s">
        <v>107</v>
      </c>
      <c r="L123" s="0" t="n">
        <v>122.4</v>
      </c>
      <c r="M123" s="0" t="n">
        <f aca="false">MAX(Assumptions!$B$33,Assumptions!$B$30-Assumptions!$B$31*(H123-36)-IF(D123=1,Assumptions!$B$32,0))</f>
        <v>0.57</v>
      </c>
      <c r="N123" s="0" t="n">
        <f aca="false">E123*M123</f>
        <v>31008</v>
      </c>
      <c r="O123" s="0" t="n">
        <f aca="false">1-POWER(J123/E123,0.1)</f>
        <v>0.12462965300371</v>
      </c>
      <c r="P123" s="0" t="n">
        <f aca="false">E123*(1+Assumptions!$B$8)+Assumptions!$B$9</f>
        <v>57520</v>
      </c>
      <c r="Q123" s="0" t="n">
        <f aca="false">IF(D123=1,Assumptions!$B$14*33.7,Assumptions!$B$13)</f>
        <v>3.1</v>
      </c>
      <c r="R123" s="0" t="n">
        <f aca="false">(Assumptions!$B$10/I123)*Q123</f>
        <v>1240</v>
      </c>
      <c r="S123" s="0" t="n">
        <f aca="false">Assumptions!$B$15+Assumptions!$B$17</f>
        <v>1750</v>
      </c>
      <c r="T123" s="0" t="n">
        <f aca="false">Assumptions!$B$15*(1+Assumptions!$B$16)+Assumptions!$B$17</f>
        <v>1942</v>
      </c>
      <c r="U123" s="0" t="n">
        <f aca="false">IF(OR(C123&gt;Assumptions!$B$11,Assumptions!$B$10*C123&gt;Assumptions!$B$12),1,0)</f>
        <v>0</v>
      </c>
      <c r="V123" s="0" t="n">
        <f aca="false">MAX(0.6,1-Assumptions!$B$22*MAX(0,(Assumptions!$B$10-10000)*C123)/10000)</f>
        <v>1</v>
      </c>
      <c r="W123" s="0" t="n">
        <f aca="false">IF(U123=1,Assumptions!$B$23,MAX(Assumptions!$B$23,E123*POWER(1-O123,C123)*V123))</f>
        <v>24476.5320527159</v>
      </c>
      <c r="X123" s="0" t="n">
        <f aca="true">SUMPRODUCT((ROW(INDIRECT("1:"&amp;C123))&gt;Assumptions!$B$20)*Assumptions!$B$18*POWER(Assumptions!$B$19,ROW(INDIRECT("1:"&amp;C123))-Assumptions!$B$20-1)*IF(ROW(INDIRECT("1:"&amp;C123))&gt;Assumptions!$B$11,Assumptions!$B$21,1)/POWER(1+Assumptions!$B$2,ROW(INDIRECT("1:"&amp;C123))))</f>
        <v>2475.151938064</v>
      </c>
      <c r="Y123" s="1" t="n">
        <f aca="false">-PV(Assumptions!$B$2,C123,R123+S123)+X123</f>
        <v>17798.1662601</v>
      </c>
      <c r="Z123" s="1" t="n">
        <f aca="false">P123+Y123-(W123/POWER(1+Assumptions!$B$2,C123))</f>
        <v>56737.135814837</v>
      </c>
      <c r="AA123" s="0" t="n">
        <f aca="false">P123*Assumptions!$B$7</f>
        <v>5752</v>
      </c>
      <c r="AB123" s="0" t="n">
        <f aca="false">P123-AA123</f>
        <v>51768</v>
      </c>
      <c r="AC123" s="1" t="n">
        <f aca="false">PMT(Assumptions!$B$5,Assumptions!$B$6,-AB123)</f>
        <v>1024.82422132665</v>
      </c>
      <c r="AD123" s="0" t="n">
        <f aca="false">C123*12</f>
        <v>72</v>
      </c>
      <c r="AE123" s="0" t="n">
        <f aca="false">MIN(Assumptions!$B$6,AD123)</f>
        <v>60</v>
      </c>
      <c r="AF123" s="0" t="n">
        <f aca="false">IF(AD123&gt;=Assumptions!$B$6,0,-PV(Assumptions!$B$5,Assumptions!$B$6-AD123,AC123))</f>
        <v>0</v>
      </c>
      <c r="AG123" s="1" t="n">
        <f aca="false">AA123+(-PV(Assumptions!$B$3,AE123,AC123))+Y123-((W123-AF123)/POWER(1+Assumptions!$B$2,C123))</f>
        <v>59672.8189532348</v>
      </c>
      <c r="AH123" s="0" t="n">
        <f aca="false">H123/12</f>
        <v>3</v>
      </c>
      <c r="AI123" s="0" t="n">
        <f aca="false">MAX(0,Assumptions!$B$10-Assumptions!$B$24)*Assumptions!$B$25</f>
        <v>0</v>
      </c>
      <c r="AJ123" s="1" t="n">
        <f aca="false">F123+Assumptions!$B$27+(-PV(Assumptions!$B$3,H123-1,G123))</f>
        <v>24928.3132878378</v>
      </c>
      <c r="AK123" s="0" t="n">
        <f aca="false">CEILING(C123/AH123,1)</f>
        <v>2</v>
      </c>
      <c r="AL123" s="0" t="n">
        <f aca="false">(1+Assumptions!$B$26)/POWER(1+Assumptions!$B$2,AH123)</f>
        <v>0.906135810905202</v>
      </c>
      <c r="AM123" s="0" t="n">
        <f aca="false">IF(ABS(1-AL123)&lt;0.000000000001,AK123,(1-POWER(AL123,AK123))/(1-AL123))</f>
        <v>1.9061358109052</v>
      </c>
      <c r="AN123" s="0" t="n">
        <f aca="false">1/POWER(1+Assumptions!$B$2,AH123)</f>
        <v>0.871284433562695</v>
      </c>
      <c r="AO123" s="0" t="n">
        <f aca="false">IF(ABS(1-AN123)&lt;0.000000000001,AK123,AN123*(1-POWER(AN123,AK123))/(1-AN123))</f>
        <v>1.63042099773136</v>
      </c>
      <c r="AP123" s="1" t="n">
        <f aca="false">AJ123*AM123+Assumptions!$B$28*AO123+(-PV(Assumptions!$B$2,C123,R123+T123+AI123))</f>
        <v>64475.8861436809</v>
      </c>
      <c r="AQ123" s="0" t="n">
        <f aca="false">N123*(1+Assumptions!$B$8)</f>
        <v>32558.4</v>
      </c>
      <c r="AR123" s="1" t="n">
        <f aca="false">PMT(Assumptions!$B$5,Assumptions!$B$29,-AQ123)</f>
        <v>1005.16001515119</v>
      </c>
      <c r="AS123" s="0" t="n">
        <f aca="false">MAX(0,AD123-H123)</f>
        <v>36</v>
      </c>
      <c r="AT123" s="0" t="n">
        <f aca="false">MIN(Assumptions!$B$29,AS123)</f>
        <v>36</v>
      </c>
      <c r="AU123" s="0" t="n">
        <f aca="false">IF(AS123&gt;=Assumptions!$B$29,0,-PV(Assumptions!$B$5,Assumptions!$B$29-AS123,AR123))</f>
        <v>0</v>
      </c>
      <c r="AV123" s="1" t="n">
        <f aca="false">(-PV(Assumptions!$B$3,AT123,AR123))/POWER(1+Assumptions!$B$2,AH123)</f>
        <v>29352.75634525</v>
      </c>
      <c r="AW123" s="1" t="n">
        <f aca="false">-PV(Assumptions!$B$2,AH123,T123+AI123)</f>
        <v>5318.41766002654</v>
      </c>
      <c r="AX123" s="1" t="n">
        <f aca="false">(-PV(Assumptions!$B$2,C123,S123))-(-PV(Assumptions!$B$2,AH123,S123))</f>
        <v>4175.71854126704</v>
      </c>
      <c r="AY123" s="1" t="n">
        <f aca="false">AJ123+AW123+AX123+(-PV(Assumptions!$B$2,C123,R123))+X123-(W123/POWER(1+Assumptions!$B$2,C123))</f>
        <v>24671.2658847165</v>
      </c>
      <c r="AZ123" s="1" t="n">
        <f aca="false">AY123+AV123+(AU123/POWER(1+Assumptions!$B$2,C123))</f>
        <v>54024.0222299666</v>
      </c>
      <c r="BA123" s="0" t="n">
        <f aca="false">AQ123/POWER(1+Assumptions!$B$2,AH123)</f>
        <v>28367.6271017076</v>
      </c>
      <c r="BB123" s="1" t="n">
        <f aca="false">AY123+BA123</f>
        <v>53038.8929864242</v>
      </c>
      <c r="BC123" s="1" t="n">
        <f aca="false">AJ123+Assumptions!$B$28/POWER(1+Assumptions!$B$2,AH123)+(-PV(Assumptions!$B$2,AH123,R123+T123+AI123))</f>
        <v>33991.1447719758</v>
      </c>
      <c r="BD123" s="1" t="n">
        <f aca="false">MIN(Z123,AG123,AZ123)</f>
        <v>54024.0222299666</v>
      </c>
      <c r="BE123" s="0" t="str">
        <f aca="false">IF(BD123=Z123,"Cash",IF(BD123=AG123,"Loan","Lease then buy out"))</f>
        <v>Lease then buy out</v>
      </c>
    </row>
    <row r="124" customFormat="false" ht="15" hidden="false" customHeight="false" outlineLevel="0" collapsed="false">
      <c r="A124" s="0" t="s">
        <v>80</v>
      </c>
      <c r="B124" s="0" t="s">
        <v>110</v>
      </c>
      <c r="C124" s="0" t="n">
        <v>6</v>
      </c>
      <c r="D124" s="0" t="n">
        <v>1</v>
      </c>
      <c r="E124" s="0" t="n">
        <v>52450</v>
      </c>
      <c r="F124" s="0" t="n">
        <v>4025</v>
      </c>
      <c r="G124" s="0" t="n">
        <v>595</v>
      </c>
      <c r="H124" s="0" t="n">
        <v>36</v>
      </c>
      <c r="I124" s="0" t="n">
        <v>106</v>
      </c>
      <c r="J124" s="0" t="n">
        <v>15641</v>
      </c>
      <c r="K124" s="0" t="s">
        <v>107</v>
      </c>
      <c r="L124" s="0" t="n">
        <v>150.5</v>
      </c>
      <c r="M124" s="0" t="n">
        <f aca="false">MAX(Assumptions!$B$33,Assumptions!$B$30-Assumptions!$B$31*(H124-36)-IF(D124=1,Assumptions!$B$32,0))</f>
        <v>0.49</v>
      </c>
      <c r="N124" s="0" t="n">
        <f aca="false">E124*M124</f>
        <v>25700.5</v>
      </c>
      <c r="O124" s="0" t="n">
        <f aca="false">1-POWER(J124/E124,0.1)</f>
        <v>0.113962909436698</v>
      </c>
      <c r="P124" s="0" t="n">
        <f aca="false">E124*(1+Assumptions!$B$8)+Assumptions!$B$9</f>
        <v>55472.5</v>
      </c>
      <c r="Q124" s="0" t="n">
        <f aca="false">IF(D124=1,Assumptions!$B$14*33.7,Assumptions!$B$13)</f>
        <v>5.729</v>
      </c>
      <c r="R124" s="0" t="n">
        <f aca="false">(Assumptions!$B$10/I124)*Q124</f>
        <v>540.471698113208</v>
      </c>
      <c r="S124" s="0" t="n">
        <f aca="false">Assumptions!$B$15+Assumptions!$B$17</f>
        <v>1750</v>
      </c>
      <c r="T124" s="0" t="n">
        <f aca="false">Assumptions!$B$15*(1+Assumptions!$B$16)+Assumptions!$B$17</f>
        <v>1942</v>
      </c>
      <c r="U124" s="0" t="n">
        <f aca="false">IF(OR(C124&gt;Assumptions!$B$11,Assumptions!$B$10*C124&gt;Assumptions!$B$12),1,0)</f>
        <v>0</v>
      </c>
      <c r="V124" s="0" t="n">
        <f aca="false">MAX(0.6,1-Assumptions!$B$22*MAX(0,(Assumptions!$B$10-10000)*C124)/10000)</f>
        <v>1</v>
      </c>
      <c r="W124" s="0" t="n">
        <f aca="false">IF(U124=1,Assumptions!$B$23,MAX(Assumptions!$B$23,E124*POWER(1-O124,C124)*V124))</f>
        <v>25377.971576084</v>
      </c>
      <c r="X124" s="0" t="n">
        <f aca="true">SUMPRODUCT((ROW(INDIRECT("1:"&amp;C124))&gt;Assumptions!$B$20)*Assumptions!$B$18*POWER(Assumptions!$B$19,ROW(INDIRECT("1:"&amp;C124))-Assumptions!$B$20-1)*IF(ROW(INDIRECT("1:"&amp;C124))&gt;Assumptions!$B$11,Assumptions!$B$21,1)/POWER(1+Assumptions!$B$2,ROW(INDIRECT("1:"&amp;C124))))</f>
        <v>2475.151938064</v>
      </c>
      <c r="Y124" s="1" t="n">
        <f aca="false">-PV(Assumptions!$B$2,C124,R124+S124)+X124</f>
        <v>14213.2558291699</v>
      </c>
      <c r="Z124" s="1" t="n">
        <f aca="false">P124+Y124-(W124/POWER(1+Assumptions!$B$2,C124))</f>
        <v>50420.4096813315</v>
      </c>
      <c r="AA124" s="0" t="n">
        <f aca="false">P124*Assumptions!$B$7</f>
        <v>5547.25</v>
      </c>
      <c r="AB124" s="0" t="n">
        <f aca="false">P124-AA124</f>
        <v>49925.25</v>
      </c>
      <c r="AC124" s="1" t="n">
        <f aca="false">PMT(Assumptions!$B$5,Assumptions!$B$6,-AB124)</f>
        <v>988.344256215975</v>
      </c>
      <c r="AD124" s="0" t="n">
        <f aca="false">C124*12</f>
        <v>72</v>
      </c>
      <c r="AE124" s="0" t="n">
        <f aca="false">MIN(Assumptions!$B$6,AD124)</f>
        <v>60</v>
      </c>
      <c r="AF124" s="0" t="n">
        <f aca="false">IF(AD124&gt;=Assumptions!$B$6,0,-PV(Assumptions!$B$5,Assumptions!$B$6-AD124,AC124))</f>
        <v>0</v>
      </c>
      <c r="AG124" s="1" t="n">
        <f aca="false">AA124+(-PV(Assumptions!$B$3,AE124,AC124))+Y124-((W124-AF124)/POWER(1+Assumptions!$B$2,C124))</f>
        <v>53251.593319975</v>
      </c>
      <c r="AH124" s="0" t="n">
        <f aca="false">H124/12</f>
        <v>3</v>
      </c>
      <c r="AI124" s="0" t="n">
        <f aca="false">MAX(0,Assumptions!$B$10-Assumptions!$B$24)*Assumptions!$B$25</f>
        <v>0</v>
      </c>
      <c r="AJ124" s="1" t="n">
        <f aca="false">F124+Assumptions!$B$27+(-PV(Assumptions!$B$3,H124-1,G124))</f>
        <v>24150.1976337241</v>
      </c>
      <c r="AK124" s="0" t="n">
        <f aca="false">CEILING(C124/AH124,1)</f>
        <v>2</v>
      </c>
      <c r="AL124" s="0" t="n">
        <f aca="false">(1+Assumptions!$B$26)/POWER(1+Assumptions!$B$2,AH124)</f>
        <v>0.906135810905202</v>
      </c>
      <c r="AM124" s="0" t="n">
        <f aca="false">IF(ABS(1-AL124)&lt;0.000000000001,AK124,(1-POWER(AL124,AK124))/(1-AL124))</f>
        <v>1.9061358109052</v>
      </c>
      <c r="AN124" s="0" t="n">
        <f aca="false">1/POWER(1+Assumptions!$B$2,AH124)</f>
        <v>0.871284433562695</v>
      </c>
      <c r="AO124" s="0" t="n">
        <f aca="false">IF(ABS(1-AN124)&lt;0.000000000001,AK124,AN124*(1-POWER(AN124,AK124))/(1-AN124))</f>
        <v>1.63042099773136</v>
      </c>
      <c r="AP124" s="1" t="n">
        <f aca="false">AJ124*AM124+Assumptions!$B$28*AO124+(-PV(Assumptions!$B$2,C124,R124+T124+AI124))</f>
        <v>59407.7815994188</v>
      </c>
      <c r="AQ124" s="0" t="n">
        <f aca="false">N124*(1+Assumptions!$B$8)</f>
        <v>26985.525</v>
      </c>
      <c r="AR124" s="1" t="n">
        <f aca="false">PMT(Assumptions!$B$5,Assumptions!$B$29,-AQ124)</f>
        <v>833.111292872584</v>
      </c>
      <c r="AS124" s="0" t="n">
        <f aca="false">MAX(0,AD124-H124)</f>
        <v>36</v>
      </c>
      <c r="AT124" s="0" t="n">
        <f aca="false">MIN(Assumptions!$B$29,AS124)</f>
        <v>36</v>
      </c>
      <c r="AU124" s="0" t="n">
        <f aca="false">IF(AS124&gt;=Assumptions!$B$29,0,-PV(Assumptions!$B$5,Assumptions!$B$29-AS124,AR124))</f>
        <v>0</v>
      </c>
      <c r="AV124" s="1" t="n">
        <f aca="false">(-PV(Assumptions!$B$3,AT124,AR124))/POWER(1+Assumptions!$B$2,AH124)</f>
        <v>24328.5769624322</v>
      </c>
      <c r="AW124" s="1" t="n">
        <f aca="false">-PV(Assumptions!$B$2,AH124,T124+AI124)</f>
        <v>5318.41766002654</v>
      </c>
      <c r="AX124" s="1" t="n">
        <f aca="false">(-PV(Assumptions!$B$2,C124,S124))-(-PV(Assumptions!$B$2,AH124,S124))</f>
        <v>4175.71854126704</v>
      </c>
      <c r="AY124" s="1" t="n">
        <f aca="false">AJ124+AW124+AX124+(-PV(Assumptions!$B$2,C124,R124))+X124-(W124/POWER(1+Assumptions!$B$2,C124))</f>
        <v>19623.9240970973</v>
      </c>
      <c r="AZ124" s="1" t="n">
        <f aca="false">AY124+AV124+(AU124/POWER(1+Assumptions!$B$2,C124))</f>
        <v>43952.5010595296</v>
      </c>
      <c r="BA124" s="0" t="n">
        <f aca="false">AQ124/POWER(1+Assumptions!$B$2,AH124)</f>
        <v>23512.0678640169</v>
      </c>
      <c r="BB124" s="1" t="n">
        <f aca="false">AY124+BA124</f>
        <v>43135.9919611143</v>
      </c>
      <c r="BC124" s="1" t="n">
        <f aca="false">AJ124+Assumptions!$B$28/POWER(1+Assumptions!$B$2,AH124)+(-PV(Assumptions!$B$2,AH124,R124+T124+AI124))</f>
        <v>31297.2805728347</v>
      </c>
      <c r="BD124" s="1" t="n">
        <f aca="false">MIN(Z124,AG124,AZ124)</f>
        <v>43952.5010595296</v>
      </c>
      <c r="BE124" s="0" t="str">
        <f aca="false">IF(BD124=Z124,"Cash",IF(BD124=AG124,"Loan","Lease then buy out"))</f>
        <v>Lease then buy out</v>
      </c>
    </row>
    <row r="125" customFormat="false" ht="15" hidden="false" customHeight="false" outlineLevel="0" collapsed="false">
      <c r="A125" s="0" t="s">
        <v>103</v>
      </c>
      <c r="B125" s="0" t="s">
        <v>111</v>
      </c>
      <c r="C125" s="0" t="n">
        <v>6</v>
      </c>
      <c r="D125" s="0" t="n">
        <v>0</v>
      </c>
      <c r="E125" s="0" t="n">
        <v>27895</v>
      </c>
      <c r="F125" s="0" t="n">
        <v>3699</v>
      </c>
      <c r="G125" s="0" t="n">
        <v>279</v>
      </c>
      <c r="H125" s="0" t="n">
        <v>36</v>
      </c>
      <c r="I125" s="0" t="n">
        <v>32</v>
      </c>
      <c r="J125" s="0" t="n">
        <v>12230</v>
      </c>
      <c r="K125" s="0" t="s">
        <v>99</v>
      </c>
      <c r="L125" s="0" t="n">
        <v>125.9</v>
      </c>
      <c r="M125" s="0" t="n">
        <f aca="false">MAX(Assumptions!$B$33,Assumptions!$B$30-Assumptions!$B$31*(H125-36)-IF(D125=1,Assumptions!$B$32,0))</f>
        <v>0.57</v>
      </c>
      <c r="N125" s="0" t="n">
        <f aca="false">E125*M125</f>
        <v>15900.15</v>
      </c>
      <c r="O125" s="0" t="n">
        <f aca="false">1-POWER(J125/E125,0.1)</f>
        <v>0.0791476322331408</v>
      </c>
      <c r="P125" s="0" t="n">
        <f aca="false">E125*(1+Assumptions!$B$8)+Assumptions!$B$9</f>
        <v>29689.75</v>
      </c>
      <c r="Q125" s="0" t="n">
        <f aca="false">IF(D125=1,Assumptions!$B$14*33.7,Assumptions!$B$13)</f>
        <v>3.1</v>
      </c>
      <c r="R125" s="0" t="n">
        <f aca="false">(Assumptions!$B$10/I125)*Q125</f>
        <v>968.75</v>
      </c>
      <c r="S125" s="0" t="n">
        <f aca="false">Assumptions!$B$15+Assumptions!$B$17</f>
        <v>1750</v>
      </c>
      <c r="T125" s="0" t="n">
        <f aca="false">Assumptions!$B$15*(1+Assumptions!$B$16)+Assumptions!$B$17</f>
        <v>1942</v>
      </c>
      <c r="U125" s="0" t="n">
        <f aca="false">IF(OR(C125&gt;Assumptions!$B$11,Assumptions!$B$10*C125&gt;Assumptions!$B$12),1,0)</f>
        <v>0</v>
      </c>
      <c r="V125" s="0" t="n">
        <f aca="false">MAX(0.6,1-Assumptions!$B$22*MAX(0,(Assumptions!$B$10-10000)*C125)/10000)</f>
        <v>1</v>
      </c>
      <c r="W125" s="0" t="n">
        <f aca="false">IF(U125=1,Assumptions!$B$23,MAX(Assumptions!$B$23,E125*POWER(1-O125,C125)*V125))</f>
        <v>17008.5159070468</v>
      </c>
      <c r="X125" s="0" t="n">
        <f aca="true">SUMPRODUCT((ROW(INDIRECT("1:"&amp;C125))&gt;Assumptions!$B$20)*Assumptions!$B$18*POWER(Assumptions!$B$19,ROW(INDIRECT("1:"&amp;C125))-Assumptions!$B$20-1)*IF(ROW(INDIRECT("1:"&amp;C125))&gt;Assumptions!$B$11,Assumptions!$B$21,1)/POWER(1+Assumptions!$B$2,ROW(INDIRECT("1:"&amp;C125))))</f>
        <v>2475.151938064</v>
      </c>
      <c r="Y125" s="1" t="n">
        <f aca="false">-PV(Assumptions!$B$2,C125,R125+S125)+X125</f>
        <v>16408.0767501159</v>
      </c>
      <c r="Z125" s="1" t="n">
        <f aca="false">P125+Y125-(W125/POWER(1+Assumptions!$B$2,C125))</f>
        <v>33186.0404228323</v>
      </c>
      <c r="AA125" s="0" t="n">
        <f aca="false">P125*Assumptions!$B$7</f>
        <v>2968.975</v>
      </c>
      <c r="AB125" s="0" t="n">
        <f aca="false">P125-AA125</f>
        <v>26720.775</v>
      </c>
      <c r="AC125" s="1" t="n">
        <f aca="false">PMT(Assumptions!$B$5,Assumptions!$B$6,-AB125)</f>
        <v>528.97731093764</v>
      </c>
      <c r="AD125" s="0" t="n">
        <f aca="false">C125*12</f>
        <v>72</v>
      </c>
      <c r="AE125" s="0" t="n">
        <f aca="false">MIN(Assumptions!$B$6,AD125)</f>
        <v>60</v>
      </c>
      <c r="AF125" s="0" t="n">
        <f aca="false">IF(AD125&gt;=Assumptions!$B$6,0,-PV(Assumptions!$B$5,Assumptions!$B$6-AD125,AC125))</f>
        <v>0</v>
      </c>
      <c r="AG125" s="1" t="n">
        <f aca="false">AA125+(-PV(Assumptions!$B$3,AE125,AC125))+Y125-((W125-AF125)/POWER(1+Assumptions!$B$2,C125))</f>
        <v>34701.3342068769</v>
      </c>
      <c r="AH125" s="0" t="n">
        <f aca="false">H125/12</f>
        <v>3</v>
      </c>
      <c r="AI125" s="0" t="n">
        <f aca="false">MAX(0,Assumptions!$B$10-Assumptions!$B$24)*Assumptions!$B$25</f>
        <v>0</v>
      </c>
      <c r="AJ125" s="1" t="n">
        <f aca="false">F125+Assumptions!$B$27+(-PV(Assumptions!$B$3,H125-1,G125))</f>
        <v>13507.6220837126</v>
      </c>
      <c r="AK125" s="0" t="n">
        <f aca="false">CEILING(C125/AH125,1)</f>
        <v>2</v>
      </c>
      <c r="AL125" s="0" t="n">
        <f aca="false">(1+Assumptions!$B$26)/POWER(1+Assumptions!$B$2,AH125)</f>
        <v>0.906135810905202</v>
      </c>
      <c r="AM125" s="0" t="n">
        <f aca="false">IF(ABS(1-AL125)&lt;0.000000000001,AK125,(1-POWER(AL125,AK125))/(1-AL125))</f>
        <v>1.9061358109052</v>
      </c>
      <c r="AN125" s="0" t="n">
        <f aca="false">1/POWER(1+Assumptions!$B$2,AH125)</f>
        <v>0.871284433562695</v>
      </c>
      <c r="AO125" s="0" t="n">
        <f aca="false">IF(ABS(1-AN125)&lt;0.000000000001,AK125,AN125*(1-POWER(AN125,AK125))/(1-AN125))</f>
        <v>1.63042099773136</v>
      </c>
      <c r="AP125" s="1" t="n">
        <f aca="false">AJ125*AM125+Assumptions!$B$28*AO125+(-PV(Assumptions!$B$2,C125,R125+T125+AI125))</f>
        <v>41316.4081442239</v>
      </c>
      <c r="AQ125" s="0" t="n">
        <f aca="false">N125*(1+Assumptions!$B$8)</f>
        <v>16695.1575</v>
      </c>
      <c r="AR125" s="1" t="n">
        <f aca="false">PMT(Assumptions!$B$5,Assumptions!$B$29,-AQ125)</f>
        <v>515.421665857396</v>
      </c>
      <c r="AS125" s="0" t="n">
        <f aca="false">MAX(0,AD125-H125)</f>
        <v>36</v>
      </c>
      <c r="AT125" s="0" t="n">
        <f aca="false">MIN(Assumptions!$B$29,AS125)</f>
        <v>36</v>
      </c>
      <c r="AU125" s="0" t="n">
        <f aca="false">IF(AS125&gt;=Assumptions!$B$29,0,-PV(Assumptions!$B$5,Assumptions!$B$29-AS125,AR125))</f>
        <v>0</v>
      </c>
      <c r="AV125" s="1" t="n">
        <f aca="false">(-PV(Assumptions!$B$3,AT125,AR125))/POWER(1+Assumptions!$B$2,AH125)</f>
        <v>15051.3812178447</v>
      </c>
      <c r="AW125" s="1" t="n">
        <f aca="false">-PV(Assumptions!$B$2,AH125,T125+AI125)</f>
        <v>5318.41766002654</v>
      </c>
      <c r="AX125" s="1" t="n">
        <f aca="false">(-PV(Assumptions!$B$2,C125,S125))-(-PV(Assumptions!$B$2,AH125,S125))</f>
        <v>4175.71854126704</v>
      </c>
      <c r="AY125" s="1" t="n">
        <f aca="false">AJ125+AW125+AX125+(-PV(Assumptions!$B$2,C125,R125))+X125-(W125/POWER(1+Assumptions!$B$2,C125))</f>
        <v>17529.7292885867</v>
      </c>
      <c r="AZ125" s="1" t="n">
        <f aca="false">AY125+AV125+(AU125/POWER(1+Assumptions!$B$2,C125))</f>
        <v>32581.1105064314</v>
      </c>
      <c r="BA125" s="0" t="n">
        <f aca="false">AQ125/POWER(1+Assumptions!$B$2,AH125)</f>
        <v>14546.2308456275</v>
      </c>
      <c r="BB125" s="1" t="n">
        <f aca="false">AY125+BA125</f>
        <v>32075.9601342142</v>
      </c>
      <c r="BC125" s="1" t="n">
        <f aca="false">AJ125+Assumptions!$B$28/POWER(1+Assumptions!$B$2,AH125)+(-PV(Assumptions!$B$2,AH125,R125+T125+AI125))</f>
        <v>21827.600431763</v>
      </c>
      <c r="BD125" s="1" t="n">
        <f aca="false">MIN(Z125,AG125,AZ125)</f>
        <v>32581.1105064314</v>
      </c>
      <c r="BE125" s="0" t="str">
        <f aca="false">IF(BD125=Z125,"Cash",IF(BD125=AG125,"Loan","Lease then buy out"))</f>
        <v>Lease then buy out</v>
      </c>
    </row>
    <row r="126" customFormat="false" ht="15" hidden="false" customHeight="false" outlineLevel="0" collapsed="false">
      <c r="A126" s="0" t="s">
        <v>103</v>
      </c>
      <c r="B126" s="0" t="s">
        <v>112</v>
      </c>
      <c r="C126" s="0" t="n">
        <v>6</v>
      </c>
      <c r="D126" s="0" t="n">
        <v>0</v>
      </c>
      <c r="E126" s="0" t="n">
        <v>34050</v>
      </c>
      <c r="F126" s="0" t="n">
        <v>3899</v>
      </c>
      <c r="G126" s="0" t="n">
        <v>369</v>
      </c>
      <c r="H126" s="0" t="n">
        <v>36</v>
      </c>
      <c r="I126" s="0" t="n">
        <v>38</v>
      </c>
      <c r="J126" s="0" t="n">
        <v>16015</v>
      </c>
      <c r="K126" s="0" t="s">
        <v>99</v>
      </c>
      <c r="L126" s="0" t="n">
        <v>176.5</v>
      </c>
      <c r="M126" s="0" t="n">
        <f aca="false">MAX(Assumptions!$B$33,Assumptions!$B$30-Assumptions!$B$31*(H126-36)-IF(D126=1,Assumptions!$B$32,0))</f>
        <v>0.57</v>
      </c>
      <c r="N126" s="0" t="n">
        <f aca="false">E126*M126</f>
        <v>19408.5</v>
      </c>
      <c r="O126" s="0" t="n">
        <f aca="false">1-POWER(J126/E126,0.1)</f>
        <v>0.0726557516911875</v>
      </c>
      <c r="P126" s="0" t="n">
        <f aca="false">E126*(1+Assumptions!$B$8)+Assumptions!$B$9</f>
        <v>36152.5</v>
      </c>
      <c r="Q126" s="0" t="n">
        <f aca="false">IF(D126=1,Assumptions!$B$14*33.7,Assumptions!$B$13)</f>
        <v>3.1</v>
      </c>
      <c r="R126" s="0" t="n">
        <f aca="false">(Assumptions!$B$10/I126)*Q126</f>
        <v>815.789473684211</v>
      </c>
      <c r="S126" s="0" t="n">
        <f aca="false">Assumptions!$B$15+Assumptions!$B$17</f>
        <v>1750</v>
      </c>
      <c r="T126" s="0" t="n">
        <f aca="false">Assumptions!$B$15*(1+Assumptions!$B$16)+Assumptions!$B$17</f>
        <v>1942</v>
      </c>
      <c r="U126" s="0" t="n">
        <f aca="false">IF(OR(C126&gt;Assumptions!$B$11,Assumptions!$B$10*C126&gt;Assumptions!$B$12),1,0)</f>
        <v>0</v>
      </c>
      <c r="V126" s="0" t="n">
        <f aca="false">MAX(0.6,1-Assumptions!$B$22*MAX(0,(Assumptions!$B$10-10000)*C126)/10000)</f>
        <v>1</v>
      </c>
      <c r="W126" s="0" t="n">
        <f aca="false">IF(U126=1,Assumptions!$B$23,MAX(Assumptions!$B$23,E126*POWER(1-O126,C126)*V126))</f>
        <v>21655.2405495866</v>
      </c>
      <c r="X126" s="0" t="n">
        <f aca="true">SUMPRODUCT((ROW(INDIRECT("1:"&amp;C126))&gt;Assumptions!$B$20)*Assumptions!$B$18*POWER(Assumptions!$B$19,ROW(INDIRECT("1:"&amp;C126))-Assumptions!$B$20-1)*IF(ROW(INDIRECT("1:"&amp;C126))&gt;Assumptions!$B$11,Assumptions!$B$21,1)/POWER(1+Assumptions!$B$2,ROW(INDIRECT("1:"&amp;C126))))</f>
        <v>2475.151938064</v>
      </c>
      <c r="Y126" s="1" t="n">
        <f aca="false">-PV(Assumptions!$B$2,C126,R126+S126)+X126</f>
        <v>15624.1916880949</v>
      </c>
      <c r="Z126" s="1" t="n">
        <f aca="false">P126+Y126-(W126/POWER(1+Assumptions!$B$2,C126))</f>
        <v>35337.4067810357</v>
      </c>
      <c r="AA126" s="0" t="n">
        <f aca="false">P126*Assumptions!$B$7</f>
        <v>3615.25</v>
      </c>
      <c r="AB126" s="0" t="n">
        <f aca="false">P126-AA126</f>
        <v>32537.25</v>
      </c>
      <c r="AC126" s="1" t="n">
        <f aca="false">PMT(Assumptions!$B$5,Assumptions!$B$6,-AB126)</f>
        <v>644.123046966479</v>
      </c>
      <c r="AD126" s="0" t="n">
        <f aca="false">C126*12</f>
        <v>72</v>
      </c>
      <c r="AE126" s="0" t="n">
        <f aca="false">MIN(Assumptions!$B$6,AD126)</f>
        <v>60</v>
      </c>
      <c r="AF126" s="0" t="n">
        <f aca="false">IF(AD126&gt;=Assumptions!$B$6,0,-PV(Assumptions!$B$5,Assumptions!$B$6-AD126,AC126))</f>
        <v>0</v>
      </c>
      <c r="AG126" s="1" t="n">
        <f aca="false">AA126+(-PV(Assumptions!$B$3,AE126,AC126))+Y126-((W126-AF126)/POWER(1+Assumptions!$B$2,C126))</f>
        <v>37182.5438578947</v>
      </c>
      <c r="AH126" s="0" t="n">
        <f aca="false">H126/12</f>
        <v>3</v>
      </c>
      <c r="AI126" s="0" t="n">
        <f aca="false">MAX(0,Assumptions!$B$10-Assumptions!$B$24)*Assumptions!$B$25</f>
        <v>0</v>
      </c>
      <c r="AJ126" s="1" t="n">
        <f aca="false">F126+Assumptions!$B$27+(-PV(Assumptions!$B$3,H126-1,G126))</f>
        <v>16645.887272007</v>
      </c>
      <c r="AK126" s="0" t="n">
        <f aca="false">CEILING(C126/AH126,1)</f>
        <v>2</v>
      </c>
      <c r="AL126" s="0" t="n">
        <f aca="false">(1+Assumptions!$B$26)/POWER(1+Assumptions!$B$2,AH126)</f>
        <v>0.906135810905202</v>
      </c>
      <c r="AM126" s="0" t="n">
        <f aca="false">IF(ABS(1-AL126)&lt;0.000000000001,AK126,(1-POWER(AL126,AK126))/(1-AL126))</f>
        <v>1.9061358109052</v>
      </c>
      <c r="AN126" s="0" t="n">
        <f aca="false">1/POWER(1+Assumptions!$B$2,AH126)</f>
        <v>0.871284433562695</v>
      </c>
      <c r="AO126" s="0" t="n">
        <f aca="false">IF(ABS(1-AN126)&lt;0.000000000001,AK126,AN126*(1-POWER(AN126,AK126))/(1-AN126))</f>
        <v>1.63042099773136</v>
      </c>
      <c r="AP126" s="1" t="n">
        <f aca="false">AJ126*AM126+Assumptions!$B$28*AO126+(-PV(Assumptions!$B$2,C126,R126+T126+AI126))</f>
        <v>46514.4827417279</v>
      </c>
      <c r="AQ126" s="0" t="n">
        <f aca="false">N126*(1+Assumptions!$B$8)</f>
        <v>20378.925</v>
      </c>
      <c r="AR126" s="1" t="n">
        <f aca="false">PMT(Assumptions!$B$5,Assumptions!$B$29,-AQ126)</f>
        <v>629.148869777535</v>
      </c>
      <c r="AS126" s="0" t="n">
        <f aca="false">MAX(0,AD126-H126)</f>
        <v>36</v>
      </c>
      <c r="AT126" s="0" t="n">
        <f aca="false">MIN(Assumptions!$B$29,AS126)</f>
        <v>36</v>
      </c>
      <c r="AU126" s="0" t="n">
        <f aca="false">IF(AS126&gt;=Assumptions!$B$29,0,-PV(Assumptions!$B$5,Assumptions!$B$29-AS126,AR126))</f>
        <v>0</v>
      </c>
      <c r="AV126" s="1" t="n">
        <f aca="false">(-PV(Assumptions!$B$3,AT126,AR126))/POWER(1+Assumptions!$B$2,AH126)</f>
        <v>18372.451352128</v>
      </c>
      <c r="AW126" s="1" t="n">
        <f aca="false">-PV(Assumptions!$B$2,AH126,T126+AI126)</f>
        <v>5318.41766002654</v>
      </c>
      <c r="AX126" s="1" t="n">
        <f aca="false">(-PV(Assumptions!$B$2,C126,S126))-(-PV(Assumptions!$B$2,AH126,S126))</f>
        <v>4175.71854126704</v>
      </c>
      <c r="AY126" s="1" t="n">
        <f aca="false">AJ126+AW126+AX126+(-PV(Assumptions!$B$2,C126,R126))+X126-(W126/POWER(1+Assumptions!$B$2,C126))</f>
        <v>16356.6108350845</v>
      </c>
      <c r="AZ126" s="1" t="n">
        <f aca="false">AY126+AV126+(AU126/POWER(1+Assumptions!$B$2,C126))</f>
        <v>34729.0621872126</v>
      </c>
      <c r="BA126" s="0" t="n">
        <f aca="false">AQ126/POWER(1+Assumptions!$B$2,AH126)</f>
        <v>17755.8401252416</v>
      </c>
      <c r="BB126" s="1" t="n">
        <f aca="false">AY126+BA126</f>
        <v>34112.4509603262</v>
      </c>
      <c r="BC126" s="1" t="n">
        <f aca="false">AJ126+Assumptions!$B$28/POWER(1+Assumptions!$B$2,AH126)+(-PV(Assumptions!$B$2,AH126,R126+T126+AI126))</f>
        <v>24546.963475647</v>
      </c>
      <c r="BD126" s="1" t="n">
        <f aca="false">MIN(Z126,AG126,AZ126)</f>
        <v>34729.0621872126</v>
      </c>
      <c r="BE126" s="0" t="str">
        <f aca="false">IF(BD126=Z126,"Cash",IF(BD126=AG126,"Loan","Lease then buy out"))</f>
        <v>Lease then buy out</v>
      </c>
    </row>
    <row r="127" customFormat="false" ht="15" hidden="false" customHeight="false" outlineLevel="0" collapsed="false">
      <c r="A127" s="0" t="s">
        <v>43</v>
      </c>
      <c r="B127" s="0" t="s">
        <v>113</v>
      </c>
      <c r="C127" s="0" t="n">
        <v>6</v>
      </c>
      <c r="D127" s="0" t="n">
        <v>0</v>
      </c>
      <c r="E127" s="0" t="n">
        <v>37858</v>
      </c>
      <c r="F127" s="0" t="n">
        <v>2956</v>
      </c>
      <c r="G127" s="0" t="n">
        <v>456</v>
      </c>
      <c r="H127" s="0" t="n">
        <v>36</v>
      </c>
      <c r="I127" s="0" t="n">
        <v>37</v>
      </c>
      <c r="J127" s="0" t="n">
        <v>11019</v>
      </c>
      <c r="K127" s="0" t="s">
        <v>99</v>
      </c>
      <c r="L127" s="0" t="n">
        <v>175.5</v>
      </c>
      <c r="M127" s="0" t="n">
        <f aca="false">MAX(Assumptions!$B$33,Assumptions!$B$30-Assumptions!$B$31*(H127-36)-IF(D127=1,Assumptions!$B$32,0))</f>
        <v>0.57</v>
      </c>
      <c r="N127" s="0" t="n">
        <f aca="false">E127*M127</f>
        <v>21579.06</v>
      </c>
      <c r="O127" s="0" t="n">
        <f aca="false">1-POWER(J127/E127,0.1)</f>
        <v>0.116109529586196</v>
      </c>
      <c r="P127" s="0" t="n">
        <f aca="false">E127*(1+Assumptions!$B$8)+Assumptions!$B$9</f>
        <v>40150.9</v>
      </c>
      <c r="Q127" s="0" t="n">
        <f aca="false">IF(D127=1,Assumptions!$B$14*33.7,Assumptions!$B$13)</f>
        <v>3.1</v>
      </c>
      <c r="R127" s="0" t="n">
        <f aca="false">(Assumptions!$B$10/I127)*Q127</f>
        <v>837.837837837838</v>
      </c>
      <c r="S127" s="0" t="n">
        <f aca="false">Assumptions!$B$15+Assumptions!$B$17</f>
        <v>1750</v>
      </c>
      <c r="T127" s="0" t="n">
        <f aca="false">Assumptions!$B$15*(1+Assumptions!$B$16)+Assumptions!$B$17</f>
        <v>1942</v>
      </c>
      <c r="U127" s="0" t="n">
        <f aca="false">IF(OR(C127&gt;Assumptions!$B$11,Assumptions!$B$10*C127&gt;Assumptions!$B$12),1,0)</f>
        <v>0</v>
      </c>
      <c r="V127" s="0" t="n">
        <f aca="false">MAX(0.6,1-Assumptions!$B$22*MAX(0,(Assumptions!$B$10-10000)*C127)/10000)</f>
        <v>1</v>
      </c>
      <c r="W127" s="0" t="n">
        <f aca="false">IF(U127=1,Assumptions!$B$23,MAX(Assumptions!$B$23,E127*POWER(1-O127,C127)*V127))</f>
        <v>18052.9582005379</v>
      </c>
      <c r="X127" s="0" t="n">
        <f aca="true">SUMPRODUCT((ROW(INDIRECT("1:"&amp;C127))&gt;Assumptions!$B$20)*Assumptions!$B$18*POWER(Assumptions!$B$19,ROW(INDIRECT("1:"&amp;C127))-Assumptions!$B$20-1)*IF(ROW(INDIRECT("1:"&amp;C127))&gt;Assumptions!$B$11,Assumptions!$B$21,1)/POWER(1+Assumptions!$B$2,ROW(INDIRECT("1:"&amp;C127))))</f>
        <v>2475.151938064</v>
      </c>
      <c r="Y127" s="1" t="n">
        <f aca="false">-PV(Assumptions!$B$2,C127,R127+S127)+X127</f>
        <v>15737.1841294673</v>
      </c>
      <c r="Z127" s="1" t="n">
        <f aca="false">P127+Y127-(W127/POWER(1+Assumptions!$B$2,C127))</f>
        <v>42183.4234680304</v>
      </c>
      <c r="AA127" s="0" t="n">
        <f aca="false">P127*Assumptions!$B$7</f>
        <v>4015.09</v>
      </c>
      <c r="AB127" s="0" t="n">
        <f aca="false">P127-AA127</f>
        <v>36135.81</v>
      </c>
      <c r="AC127" s="1" t="n">
        <f aca="false">PMT(Assumptions!$B$5,Assumptions!$B$6,-AB127)</f>
        <v>715.361871141592</v>
      </c>
      <c r="AD127" s="0" t="n">
        <f aca="false">C127*12</f>
        <v>72</v>
      </c>
      <c r="AE127" s="0" t="n">
        <f aca="false">MIN(Assumptions!$B$6,AD127)</f>
        <v>60</v>
      </c>
      <c r="AF127" s="0" t="n">
        <f aca="false">IF(AD127&gt;=Assumptions!$B$6,0,-PV(Assumptions!$B$5,Assumptions!$B$6-AD127,AC127))</f>
        <v>0</v>
      </c>
      <c r="AG127" s="1" t="n">
        <f aca="false">AA127+(-PV(Assumptions!$B$3,AE127,AC127))+Y127-((W127-AF127)/POWER(1+Assumptions!$B$2,C127))</f>
        <v>44232.6293115891</v>
      </c>
      <c r="AH127" s="0" t="n">
        <f aca="false">H127/12</f>
        <v>3</v>
      </c>
      <c r="AI127" s="0" t="n">
        <f aca="false">MAX(0,Assumptions!$B$10-Assumptions!$B$24)*Assumptions!$B$25</f>
        <v>0</v>
      </c>
      <c r="AJ127" s="1" t="n">
        <f aca="false">F127+Assumptions!$B$27+(-PV(Assumptions!$B$3,H127-1,G127))</f>
        <v>18543.2102873583</v>
      </c>
      <c r="AK127" s="0" t="n">
        <f aca="false">CEILING(C127/AH127,1)</f>
        <v>2</v>
      </c>
      <c r="AL127" s="0" t="n">
        <f aca="false">(1+Assumptions!$B$26)/POWER(1+Assumptions!$B$2,AH127)</f>
        <v>0.906135810905202</v>
      </c>
      <c r="AM127" s="0" t="n">
        <f aca="false">IF(ABS(1-AL127)&lt;0.000000000001,AK127,(1-POWER(AL127,AK127))/(1-AL127))</f>
        <v>1.9061358109052</v>
      </c>
      <c r="AN127" s="0" t="n">
        <f aca="false">1/POWER(1+Assumptions!$B$2,AH127)</f>
        <v>0.871284433562695</v>
      </c>
      <c r="AO127" s="0" t="n">
        <f aca="false">IF(ABS(1-AN127)&lt;0.000000000001,AK127,AN127*(1-POWER(AN127,AK127))/(1-AN127))</f>
        <v>1.63042099773136</v>
      </c>
      <c r="AP127" s="1" t="n">
        <f aca="false">AJ127*AM127+Assumptions!$B$28*AO127+(-PV(Assumptions!$B$2,C127,R127+T127+AI127))</f>
        <v>50244.030527516</v>
      </c>
      <c r="AQ127" s="0" t="n">
        <f aca="false">N127*(1+Assumptions!$B$8)</f>
        <v>22658.013</v>
      </c>
      <c r="AR127" s="1" t="n">
        <f aca="false">PMT(Assumptions!$B$5,Assumptions!$B$29,-AQ127)</f>
        <v>699.510070838118</v>
      </c>
      <c r="AS127" s="0" t="n">
        <f aca="false">MAX(0,AD127-H127)</f>
        <v>36</v>
      </c>
      <c r="AT127" s="0" t="n">
        <f aca="false">MIN(Assumptions!$B$29,AS127)</f>
        <v>36</v>
      </c>
      <c r="AU127" s="0" t="n">
        <f aca="false">IF(AS127&gt;=Assumptions!$B$29,0,-PV(Assumptions!$B$5,Assumptions!$B$29-AS127,AR127))</f>
        <v>0</v>
      </c>
      <c r="AV127" s="1" t="n">
        <f aca="false">(-PV(Assumptions!$B$3,AT127,AR127))/POWER(1+Assumptions!$B$2,AH127)</f>
        <v>20427.1442962955</v>
      </c>
      <c r="AW127" s="1" t="n">
        <f aca="false">-PV(Assumptions!$B$2,AH127,T127+AI127)</f>
        <v>5318.41766002654</v>
      </c>
      <c r="AX127" s="1" t="n">
        <f aca="false">(-PV(Assumptions!$B$2,C127,S127))-(-PV(Assumptions!$B$2,AH127,S127))</f>
        <v>4175.71854126704</v>
      </c>
      <c r="AY127" s="1" t="n">
        <f aca="false">AJ127+AW127+AX127+(-PV(Assumptions!$B$2,C127,R127))+X127-(W127/POWER(1+Assumptions!$B$2,C127))</f>
        <v>21101.5505374304</v>
      </c>
      <c r="AZ127" s="1" t="n">
        <f aca="false">AY127+AV127+(AU127/POWER(1+Assumptions!$B$2,C127))</f>
        <v>41528.6948337259</v>
      </c>
      <c r="BA127" s="0" t="n">
        <f aca="false">AQ127/POWER(1+Assumptions!$B$2,AH127)</f>
        <v>19741.5740223612</v>
      </c>
      <c r="BB127" s="1" t="n">
        <f aca="false">AY127+BA127</f>
        <v>40843.1245597916</v>
      </c>
      <c r="BC127" s="1" t="n">
        <f aca="false">AJ127+Assumptions!$B$28/POWER(1+Assumptions!$B$2,AH127)+(-PV(Assumptions!$B$2,AH127,R127+T127+AI127))</f>
        <v>26504.6687820845</v>
      </c>
      <c r="BD127" s="1" t="n">
        <f aca="false">MIN(Z127,AG127,AZ127)</f>
        <v>41528.6948337259</v>
      </c>
      <c r="BE127" s="0" t="str">
        <f aca="false">IF(BD127=Z127,"Cash",IF(BD127=AG127,"Loan","Lease then buy out"))</f>
        <v>Lease then buy out</v>
      </c>
    </row>
    <row r="128" customFormat="false" ht="15" hidden="false" customHeight="false" outlineLevel="0" collapsed="false">
      <c r="A128" s="0" t="s">
        <v>48</v>
      </c>
      <c r="B128" s="0" t="s">
        <v>114</v>
      </c>
      <c r="C128" s="0" t="n">
        <v>6</v>
      </c>
      <c r="D128" s="0" t="n">
        <v>0</v>
      </c>
      <c r="E128" s="0" t="n">
        <v>41775</v>
      </c>
      <c r="F128" s="0" t="n">
        <v>3067</v>
      </c>
      <c r="G128" s="0" t="n">
        <v>567</v>
      </c>
      <c r="H128" s="0" t="n">
        <v>36</v>
      </c>
      <c r="I128" s="0" t="n">
        <v>21</v>
      </c>
      <c r="J128" s="0" t="n">
        <v>11970</v>
      </c>
      <c r="K128" s="0" t="s">
        <v>99</v>
      </c>
      <c r="L128" s="0" t="n">
        <v>176.5</v>
      </c>
      <c r="M128" s="0" t="n">
        <f aca="false">MAX(Assumptions!$B$33,Assumptions!$B$30-Assumptions!$B$31*(H128-36)-IF(D128=1,Assumptions!$B$32,0))</f>
        <v>0.57</v>
      </c>
      <c r="N128" s="0" t="n">
        <f aca="false">E128*M128</f>
        <v>23811.75</v>
      </c>
      <c r="O128" s="0" t="n">
        <f aca="false">1-POWER(J128/E128,0.1)</f>
        <v>0.117493791869951</v>
      </c>
      <c r="P128" s="0" t="n">
        <f aca="false">E128*(1+Assumptions!$B$8)+Assumptions!$B$9</f>
        <v>44263.75</v>
      </c>
      <c r="Q128" s="0" t="n">
        <f aca="false">IF(D128=1,Assumptions!$B$14*33.7,Assumptions!$B$13)</f>
        <v>3.1</v>
      </c>
      <c r="R128" s="0" t="n">
        <f aca="false">(Assumptions!$B$10/I128)*Q128</f>
        <v>1476.19047619048</v>
      </c>
      <c r="S128" s="0" t="n">
        <f aca="false">Assumptions!$B$15+Assumptions!$B$17</f>
        <v>1750</v>
      </c>
      <c r="T128" s="0" t="n">
        <f aca="false">Assumptions!$B$15*(1+Assumptions!$B$16)+Assumptions!$B$17</f>
        <v>1942</v>
      </c>
      <c r="U128" s="0" t="n">
        <f aca="false">IF(OR(C128&gt;Assumptions!$B$11,Assumptions!$B$10*C128&gt;Assumptions!$B$12),1,0)</f>
        <v>0</v>
      </c>
      <c r="V128" s="0" t="n">
        <f aca="false">MAX(0.6,1-Assumptions!$B$22*MAX(0,(Assumptions!$B$10-10000)*C128)/10000)</f>
        <v>1</v>
      </c>
      <c r="W128" s="0" t="n">
        <f aca="false">IF(U128=1,Assumptions!$B$23,MAX(Assumptions!$B$23,E128*POWER(1-O128,C128)*V128))</f>
        <v>19734.3612361405</v>
      </c>
      <c r="X128" s="0" t="n">
        <f aca="true">SUMPRODUCT((ROW(INDIRECT("1:"&amp;C128))&gt;Assumptions!$B$20)*Assumptions!$B$18*POWER(Assumptions!$B$19,ROW(INDIRECT("1:"&amp;C128))-Assumptions!$B$20-1)*IF(ROW(INDIRECT("1:"&amp;C128))&gt;Assumptions!$B$11,Assumptions!$B$21,1)/POWER(1+Assumptions!$B$2,ROW(INDIRECT("1:"&amp;C128))))</f>
        <v>2475.151938064</v>
      </c>
      <c r="Y128" s="1" t="n">
        <f aca="false">-PV(Assumptions!$B$2,C128,R128+S128)+X128</f>
        <v>19008.5843368208</v>
      </c>
      <c r="Z128" s="1" t="n">
        <f aca="false">P128+Y128-(W128/POWER(1+Assumptions!$B$2,C128))</f>
        <v>48291.2591519538</v>
      </c>
      <c r="AA128" s="0" t="n">
        <f aca="false">P128*Assumptions!$B$7</f>
        <v>4426.375</v>
      </c>
      <c r="AB128" s="0" t="n">
        <f aca="false">P128-AA128</f>
        <v>39837.375</v>
      </c>
      <c r="AC128" s="1" t="n">
        <f aca="false">PMT(Assumptions!$B$5,Assumptions!$B$6,-AB128)</f>
        <v>788.63983182802</v>
      </c>
      <c r="AD128" s="0" t="n">
        <f aca="false">C128*12</f>
        <v>72</v>
      </c>
      <c r="AE128" s="0" t="n">
        <f aca="false">MIN(Assumptions!$B$6,AD128)</f>
        <v>60</v>
      </c>
      <c r="AF128" s="0" t="n">
        <f aca="false">IF(AD128&gt;=Assumptions!$B$6,0,-PV(Assumptions!$B$5,Assumptions!$B$6-AD128,AC128))</f>
        <v>0</v>
      </c>
      <c r="AG128" s="1" t="n">
        <f aca="false">AA128+(-PV(Assumptions!$B$3,AE128,AC128))+Y128-((W128-AF128)/POWER(1+Assumptions!$B$2,C128))</f>
        <v>50550.3750163011</v>
      </c>
      <c r="AH128" s="0" t="n">
        <f aca="false">H128/12</f>
        <v>3</v>
      </c>
      <c r="AI128" s="0" t="n">
        <f aca="false">MAX(0,Assumptions!$B$10-Assumptions!$B$24)*Assumptions!$B$25</f>
        <v>0</v>
      </c>
      <c r="AJ128" s="1" t="n">
        <f aca="false">F128+Assumptions!$B$27+(-PV(Assumptions!$B$3,H128-1,G128))</f>
        <v>22278.0706862547</v>
      </c>
      <c r="AK128" s="0" t="n">
        <f aca="false">CEILING(C128/AH128,1)</f>
        <v>2</v>
      </c>
      <c r="AL128" s="0" t="n">
        <f aca="false">(1+Assumptions!$B$26)/POWER(1+Assumptions!$B$2,AH128)</f>
        <v>0.906135810905202</v>
      </c>
      <c r="AM128" s="0" t="n">
        <f aca="false">IF(ABS(1-AL128)&lt;0.000000000001,AK128,(1-POWER(AL128,AK128))/(1-AL128))</f>
        <v>1.9061358109052</v>
      </c>
      <c r="AN128" s="0" t="n">
        <f aca="false">1/POWER(1+Assumptions!$B$2,AH128)</f>
        <v>0.871284433562695</v>
      </c>
      <c r="AO128" s="0" t="n">
        <f aca="false">IF(ABS(1-AN128)&lt;0.000000000001,AK128,AN128*(1-POWER(AN128,AK128))/(1-AN128))</f>
        <v>1.63042099773136</v>
      </c>
      <c r="AP128" s="1" t="n">
        <f aca="false">AJ128*AM128+Assumptions!$B$28*AO128+(-PV(Assumptions!$B$2,C128,R128+T128+AI128))</f>
        <v>60634.5818899376</v>
      </c>
      <c r="AQ128" s="0" t="n">
        <f aca="false">N128*(1+Assumptions!$B$8)</f>
        <v>25002.3375</v>
      </c>
      <c r="AR128" s="1" t="n">
        <f aca="false">PMT(Assumptions!$B$5,Assumptions!$B$29,-AQ128)</f>
        <v>771.885287370236</v>
      </c>
      <c r="AS128" s="0" t="n">
        <f aca="false">MAX(0,AD128-H128)</f>
        <v>36</v>
      </c>
      <c r="AT128" s="0" t="n">
        <f aca="false">MIN(Assumptions!$B$29,AS128)</f>
        <v>36</v>
      </c>
      <c r="AU128" s="0" t="n">
        <f aca="false">IF(AS128&gt;=Assumptions!$B$29,0,-PV(Assumptions!$B$5,Assumptions!$B$29-AS128,AR128))</f>
        <v>0</v>
      </c>
      <c r="AV128" s="1" t="n">
        <f aca="false">(-PV(Assumptions!$B$3,AT128,AR128))/POWER(1+Assumptions!$B$2,AH128)</f>
        <v>22540.6506676989</v>
      </c>
      <c r="AW128" s="1" t="n">
        <f aca="false">-PV(Assumptions!$B$2,AH128,T128+AI128)</f>
        <v>5318.41766002654</v>
      </c>
      <c r="AX128" s="1" t="n">
        <f aca="false">(-PV(Assumptions!$B$2,C128,S128))-(-PV(Assumptions!$B$2,AH128,S128))</f>
        <v>4175.71854126704</v>
      </c>
      <c r="AY128" s="1" t="n">
        <f aca="false">AJ128+AW128+AX128+(-PV(Assumptions!$B$2,C128,R128))+X128-(W128/POWER(1+Assumptions!$B$2,C128))</f>
        <v>26831.3966202502</v>
      </c>
      <c r="AZ128" s="1" t="n">
        <f aca="false">AY128+AV128+(AU128/POWER(1+Assumptions!$B$2,C128))</f>
        <v>49372.0472879492</v>
      </c>
      <c r="BA128" s="0" t="n">
        <f aca="false">AQ128/POWER(1+Assumptions!$B$2,AH128)</f>
        <v>21784.1474664308</v>
      </c>
      <c r="BB128" s="1" t="n">
        <f aca="false">AY128+BA128</f>
        <v>48615.5440866811</v>
      </c>
      <c r="BC128" s="1" t="n">
        <f aca="false">AJ128+Assumptions!$B$28/POWER(1+Assumptions!$B$2,AH128)+(-PV(Assumptions!$B$2,AH128,R128+T128+AI128))</f>
        <v>31987.7402752853</v>
      </c>
      <c r="BD128" s="1" t="n">
        <f aca="false">MIN(Z128,AG128,AZ128)</f>
        <v>48291.2591519538</v>
      </c>
      <c r="BE128" s="0" t="str">
        <f aca="false">IF(BD128=Z128,"Cash",IF(BD128=AG128,"Loan","Lease then buy out"))</f>
        <v>Cash</v>
      </c>
    </row>
    <row r="129" customFormat="false" ht="15" hidden="false" customHeight="false" outlineLevel="0" collapsed="false">
      <c r="A129" s="0" t="s">
        <v>48</v>
      </c>
      <c r="B129" s="0" t="s">
        <v>115</v>
      </c>
      <c r="C129" s="0" t="n">
        <v>6</v>
      </c>
      <c r="D129" s="0" t="n">
        <v>1</v>
      </c>
      <c r="E129" s="0" t="n">
        <v>38215</v>
      </c>
      <c r="F129" s="0" t="n">
        <v>2972</v>
      </c>
      <c r="G129" s="0" t="n">
        <v>472</v>
      </c>
      <c r="H129" s="0" t="n">
        <v>36</v>
      </c>
      <c r="I129" s="0" t="n">
        <v>111</v>
      </c>
      <c r="J129" s="0" t="n">
        <v>4466</v>
      </c>
      <c r="K129" s="0" t="s">
        <v>99</v>
      </c>
      <c r="L129" s="0" t="n">
        <v>122.6</v>
      </c>
      <c r="M129" s="0" t="n">
        <f aca="false">MAX(Assumptions!$B$33,Assumptions!$B$30-Assumptions!$B$31*(H129-36)-IF(D129=1,Assumptions!$B$32,0))</f>
        <v>0.49</v>
      </c>
      <c r="N129" s="0" t="n">
        <f aca="false">E129*M129</f>
        <v>18725.35</v>
      </c>
      <c r="O129" s="0" t="n">
        <f aca="false">1-POWER(J129/E129,0.1)</f>
        <v>0.193195177439927</v>
      </c>
      <c r="P129" s="0" t="n">
        <f aca="false">E129*(1+Assumptions!$B$8)+Assumptions!$B$9</f>
        <v>40525.75</v>
      </c>
      <c r="Q129" s="0" t="n">
        <f aca="false">IF(D129=1,Assumptions!$B$14*33.7,Assumptions!$B$13)</f>
        <v>5.729</v>
      </c>
      <c r="R129" s="0" t="n">
        <f aca="false">(Assumptions!$B$10/I129)*Q129</f>
        <v>516.126126126126</v>
      </c>
      <c r="S129" s="0" t="n">
        <f aca="false">Assumptions!$B$15+Assumptions!$B$17</f>
        <v>1750</v>
      </c>
      <c r="T129" s="0" t="n">
        <f aca="false">Assumptions!$B$15*(1+Assumptions!$B$16)+Assumptions!$B$17</f>
        <v>1942</v>
      </c>
      <c r="U129" s="0" t="n">
        <f aca="false">IF(OR(C129&gt;Assumptions!$B$11,Assumptions!$B$10*C129&gt;Assumptions!$B$12),1,0)</f>
        <v>0</v>
      </c>
      <c r="V129" s="0" t="n">
        <f aca="false">MAX(0.6,1-Assumptions!$B$22*MAX(0,(Assumptions!$B$10-10000)*C129)/10000)</f>
        <v>1</v>
      </c>
      <c r="W129" s="0" t="n">
        <f aca="false">IF(U129=1,Assumptions!$B$23,MAX(Assumptions!$B$23,E129*POWER(1-O129,C129)*V129))</f>
        <v>10540.1011045443</v>
      </c>
      <c r="X129" s="0" t="n">
        <f aca="true">SUMPRODUCT((ROW(INDIRECT("1:"&amp;C129))&gt;Assumptions!$B$20)*Assumptions!$B$18*POWER(Assumptions!$B$19,ROW(INDIRECT("1:"&amp;C129))-Assumptions!$B$20-1)*IF(ROW(INDIRECT("1:"&amp;C129))&gt;Assumptions!$B$11,Assumptions!$B$21,1)/POWER(1+Assumptions!$B$2,ROW(INDIRECT("1:"&amp;C129))))</f>
        <v>2475.151938064</v>
      </c>
      <c r="Y129" s="1" t="n">
        <f aca="false">-PV(Assumptions!$B$2,C129,R129+S129)+X129</f>
        <v>14088.4907628702</v>
      </c>
      <c r="Z129" s="1" t="n">
        <f aca="false">P129+Y129-(W129/POWER(1+Assumptions!$B$2,C129))</f>
        <v>46612.8646243761</v>
      </c>
      <c r="AA129" s="0" t="n">
        <f aca="false">P129*Assumptions!$B$7</f>
        <v>4052.575</v>
      </c>
      <c r="AB129" s="0" t="n">
        <f aca="false">P129-AA129</f>
        <v>36473.175</v>
      </c>
      <c r="AC129" s="1" t="n">
        <f aca="false">PMT(Assumptions!$B$5,Assumptions!$B$6,-AB129)</f>
        <v>722.040510908009</v>
      </c>
      <c r="AD129" s="0" t="n">
        <f aca="false">C129*12</f>
        <v>72</v>
      </c>
      <c r="AE129" s="0" t="n">
        <f aca="false">MIN(Assumptions!$B$6,AD129)</f>
        <v>60</v>
      </c>
      <c r="AF129" s="0" t="n">
        <f aca="false">IF(AD129&gt;=Assumptions!$B$6,0,-PV(Assumptions!$B$5,Assumptions!$B$6-AD129,AC129))</f>
        <v>0</v>
      </c>
      <c r="AG129" s="1" t="n">
        <f aca="false">AA129+(-PV(Assumptions!$B$3,AE129,AC129))+Y129-((W129-AF129)/POWER(1+Assumptions!$B$2,C129))</f>
        <v>48681.2019148129</v>
      </c>
      <c r="AH129" s="0" t="n">
        <f aca="false">H129/12</f>
        <v>3</v>
      </c>
      <c r="AI129" s="0" t="n">
        <f aca="false">MAX(0,Assumptions!$B$10-Assumptions!$B$24)*Assumptions!$B$25</f>
        <v>0</v>
      </c>
      <c r="AJ129" s="1" t="n">
        <f aca="false">F129+Assumptions!$B$27+(-PV(Assumptions!$B$3,H129-1,G129))</f>
        <v>19081.5685430551</v>
      </c>
      <c r="AK129" s="0" t="n">
        <f aca="false">CEILING(C129/AH129,1)</f>
        <v>2</v>
      </c>
      <c r="AL129" s="0" t="n">
        <f aca="false">(1+Assumptions!$B$26)/POWER(1+Assumptions!$B$2,AH129)</f>
        <v>0.906135810905202</v>
      </c>
      <c r="AM129" s="0" t="n">
        <f aca="false">IF(ABS(1-AL129)&lt;0.000000000001,AK129,(1-POWER(AL129,AK129))/(1-AL129))</f>
        <v>1.9061358109052</v>
      </c>
      <c r="AN129" s="0" t="n">
        <f aca="false">1/POWER(1+Assumptions!$B$2,AH129)</f>
        <v>0.871284433562695</v>
      </c>
      <c r="AO129" s="0" t="n">
        <f aca="false">IF(ABS(1-AN129)&lt;0.000000000001,AK129,AN129*(1-POWER(AN129,AK129))/(1-AN129))</f>
        <v>1.63042099773136</v>
      </c>
      <c r="AP129" s="1" t="n">
        <f aca="false">AJ129*AM129+Assumptions!$B$28*AO129+(-PV(Assumptions!$B$2,C129,R129+T129+AI129))</f>
        <v>49621.521111199</v>
      </c>
      <c r="AQ129" s="0" t="n">
        <f aca="false">N129*(1+Assumptions!$B$8)</f>
        <v>19661.6175</v>
      </c>
      <c r="AR129" s="1" t="n">
        <f aca="false">PMT(Assumptions!$B$5,Assumptions!$B$29,-AQ129)</f>
        <v>607.00377611298</v>
      </c>
      <c r="AS129" s="0" t="n">
        <f aca="false">MAX(0,AD129-H129)</f>
        <v>36</v>
      </c>
      <c r="AT129" s="0" t="n">
        <f aca="false">MIN(Assumptions!$B$29,AS129)</f>
        <v>36</v>
      </c>
      <c r="AU129" s="0" t="n">
        <f aca="false">IF(AS129&gt;=Assumptions!$B$29,0,-PV(Assumptions!$B$5,Assumptions!$B$29-AS129,AR129))</f>
        <v>0</v>
      </c>
      <c r="AV129" s="1" t="n">
        <f aca="false">(-PV(Assumptions!$B$3,AT129,AR129))/POWER(1+Assumptions!$B$2,AH129)</f>
        <v>17725.7687058026</v>
      </c>
      <c r="AW129" s="1" t="n">
        <f aca="false">-PV(Assumptions!$B$2,AH129,T129+AI129)</f>
        <v>5318.41766002654</v>
      </c>
      <c r="AX129" s="1" t="n">
        <f aca="false">(-PV(Assumptions!$B$2,C129,S129))-(-PV(Assumptions!$B$2,AH129,S129))</f>
        <v>4175.71854126704</v>
      </c>
      <c r="AY129" s="1" t="n">
        <f aca="false">AJ129+AW129+AX129+(-PV(Assumptions!$B$2,C129,R129))+X129-(W129/POWER(1+Assumptions!$B$2,C129))</f>
        <v>25694.4999494729</v>
      </c>
      <c r="AZ129" s="1" t="n">
        <f aca="false">AY129+AV129+(AU129/POWER(1+Assumptions!$B$2,C129))</f>
        <v>43420.2686552755</v>
      </c>
      <c r="BA129" s="0" t="n">
        <f aca="false">AQ129/POWER(1+Assumptions!$B$2,AH129)</f>
        <v>17130.8612664139</v>
      </c>
      <c r="BB129" s="1" t="n">
        <f aca="false">AY129+BA129</f>
        <v>42825.3612158868</v>
      </c>
      <c r="BC129" s="1" t="n">
        <f aca="false">AJ129+Assumptions!$B$28/POWER(1+Assumptions!$B$2,AH129)+(-PV(Assumptions!$B$2,AH129,R129+T129+AI129))</f>
        <v>26161.9779909198</v>
      </c>
      <c r="BD129" s="1" t="n">
        <f aca="false">MIN(Z129,AG129,AZ129)</f>
        <v>43420.2686552755</v>
      </c>
      <c r="BE129" s="0" t="str">
        <f aca="false">IF(BD129=Z129,"Cash",IF(BD129=AG129,"Loan","Lease then buy out"))</f>
        <v>Lease then buy out</v>
      </c>
    </row>
    <row r="130" customFormat="false" ht="15" hidden="false" customHeight="false" outlineLevel="0" collapsed="false">
      <c r="A130" s="0" t="s">
        <v>103</v>
      </c>
      <c r="B130" s="0" t="s">
        <v>116</v>
      </c>
      <c r="C130" s="0" t="n">
        <v>6</v>
      </c>
      <c r="D130" s="0" t="n">
        <v>0</v>
      </c>
      <c r="E130" s="0" t="n">
        <v>23950</v>
      </c>
      <c r="F130" s="0" t="n">
        <v>3599</v>
      </c>
      <c r="G130" s="0" t="n">
        <v>249</v>
      </c>
      <c r="H130" s="0" t="n">
        <v>36</v>
      </c>
      <c r="I130" s="0" t="n">
        <v>36</v>
      </c>
      <c r="J130" s="0" t="n">
        <v>10251</v>
      </c>
      <c r="K130" s="0" t="s">
        <v>99</v>
      </c>
      <c r="L130" s="0" t="n">
        <v>112.6</v>
      </c>
      <c r="M130" s="0" t="n">
        <f aca="false">MAX(Assumptions!$B$33,Assumptions!$B$30-Assumptions!$B$31*(H130-36)-IF(D130=1,Assumptions!$B$32,0))</f>
        <v>0.57</v>
      </c>
      <c r="N130" s="0" t="n">
        <f aca="false">E130*M130</f>
        <v>13651.5</v>
      </c>
      <c r="O130" s="0" t="n">
        <f aca="false">1-POWER(J130/E130,0.1)</f>
        <v>0.0813584775287319</v>
      </c>
      <c r="P130" s="0" t="n">
        <f aca="false">E130*(1+Assumptions!$B$8)+Assumptions!$B$9</f>
        <v>25547.5</v>
      </c>
      <c r="Q130" s="0" t="n">
        <f aca="false">IF(D130=1,Assumptions!$B$14*33.7,Assumptions!$B$13)</f>
        <v>3.1</v>
      </c>
      <c r="R130" s="0" t="n">
        <f aca="false">(Assumptions!$B$10/I130)*Q130</f>
        <v>861.111111111111</v>
      </c>
      <c r="S130" s="0" t="n">
        <f aca="false">Assumptions!$B$15+Assumptions!$B$17</f>
        <v>1750</v>
      </c>
      <c r="T130" s="0" t="n">
        <f aca="false">Assumptions!$B$15*(1+Assumptions!$B$16)+Assumptions!$B$17</f>
        <v>1942</v>
      </c>
      <c r="U130" s="0" t="n">
        <f aca="false">IF(OR(C130&gt;Assumptions!$B$11,Assumptions!$B$10*C130&gt;Assumptions!$B$12),1,0)</f>
        <v>0</v>
      </c>
      <c r="V130" s="0" t="n">
        <f aca="false">MAX(0.6,1-Assumptions!$B$22*MAX(0,(Assumptions!$B$10-10000)*C130)/10000)</f>
        <v>1</v>
      </c>
      <c r="W130" s="0" t="n">
        <f aca="false">IF(U130=1,Assumptions!$B$23,MAX(Assumptions!$B$23,E130*POWER(1-O130,C130)*V130))</f>
        <v>14394.0148767524</v>
      </c>
      <c r="X130" s="0" t="n">
        <f aca="true">SUMPRODUCT((ROW(INDIRECT("1:"&amp;C130))&gt;Assumptions!$B$20)*Assumptions!$B$18*POWER(Assumptions!$B$19,ROW(INDIRECT("1:"&amp;C130))-Assumptions!$B$20-1)*IF(ROW(INDIRECT("1:"&amp;C130))&gt;Assumptions!$B$11,Assumptions!$B$21,1)/POWER(1+Assumptions!$B$2,ROW(INDIRECT("1:"&amp;C130))))</f>
        <v>2475.151938064</v>
      </c>
      <c r="Y130" s="1" t="n">
        <f aca="false">-PV(Assumptions!$B$2,C130,R130+S130)+X130</f>
        <v>15856.4539286937</v>
      </c>
      <c r="Z130" s="1" t="n">
        <f aca="false">P130+Y130-(W130/POWER(1+Assumptions!$B$2,C130))</f>
        <v>30476.9309305632</v>
      </c>
      <c r="AA130" s="0" t="n">
        <f aca="false">P130*Assumptions!$B$7</f>
        <v>2554.75</v>
      </c>
      <c r="AB130" s="0" t="n">
        <f aca="false">P130-AA130</f>
        <v>22992.75</v>
      </c>
      <c r="AC130" s="1" t="n">
        <f aca="false">PMT(Assumptions!$B$5,Assumptions!$B$6,-AB130)</f>
        <v>455.175535367572</v>
      </c>
      <c r="AD130" s="0" t="n">
        <f aca="false">C130*12</f>
        <v>72</v>
      </c>
      <c r="AE130" s="0" t="n">
        <f aca="false">MIN(Assumptions!$B$6,AD130)</f>
        <v>60</v>
      </c>
      <c r="AF130" s="0" t="n">
        <f aca="false">IF(AD130&gt;=Assumptions!$B$6,0,-PV(Assumptions!$B$5,Assumptions!$B$6-AD130,AC130))</f>
        <v>0</v>
      </c>
      <c r="AG130" s="1" t="n">
        <f aca="false">AA130+(-PV(Assumptions!$B$3,AE130,AC130))+Y130-((W130-AF130)/POWER(1+Assumptions!$B$2,C130))</f>
        <v>31780.8141881817</v>
      </c>
      <c r="AH130" s="0" t="n">
        <f aca="false">H130/12</f>
        <v>3</v>
      </c>
      <c r="AI130" s="0" t="n">
        <f aca="false">MAX(0,Assumptions!$B$10-Assumptions!$B$24)*Assumptions!$B$25</f>
        <v>0</v>
      </c>
      <c r="AJ130" s="1" t="n">
        <f aca="false">F130+Assumptions!$B$27+(-PV(Assumptions!$B$3,H130-1,G130))</f>
        <v>12428.2003542812</v>
      </c>
      <c r="AK130" s="0" t="n">
        <f aca="false">CEILING(C130/AH130,1)</f>
        <v>2</v>
      </c>
      <c r="AL130" s="0" t="n">
        <f aca="false">(1+Assumptions!$B$26)/POWER(1+Assumptions!$B$2,AH130)</f>
        <v>0.906135810905202</v>
      </c>
      <c r="AM130" s="0" t="n">
        <f aca="false">IF(ABS(1-AL130)&lt;0.000000000001,AK130,(1-POWER(AL130,AK130))/(1-AL130))</f>
        <v>1.9061358109052</v>
      </c>
      <c r="AN130" s="0" t="n">
        <f aca="false">1/POWER(1+Assumptions!$B$2,AH130)</f>
        <v>0.871284433562695</v>
      </c>
      <c r="AO130" s="0" t="n">
        <f aca="false">IF(ABS(1-AN130)&lt;0.000000000001,AK130,AN130*(1-POWER(AN130,AK130))/(1-AN130))</f>
        <v>1.63042099773136</v>
      </c>
      <c r="AP130" s="1" t="n">
        <f aca="false">AJ130*AM130+Assumptions!$B$28*AO130+(-PV(Assumptions!$B$2,C130,R130+T130+AI130))</f>
        <v>38707.2609092631</v>
      </c>
      <c r="AQ130" s="0" t="n">
        <f aca="false">N130*(1+Assumptions!$B$8)</f>
        <v>14334.075</v>
      </c>
      <c r="AR130" s="1" t="n">
        <f aca="false">PMT(Assumptions!$B$5,Assumptions!$B$29,-AQ130)</f>
        <v>442.529087552774</v>
      </c>
      <c r="AS130" s="0" t="n">
        <f aca="false">MAX(0,AD130-H130)</f>
        <v>36</v>
      </c>
      <c r="AT130" s="0" t="n">
        <f aca="false">MIN(Assumptions!$B$29,AS130)</f>
        <v>36</v>
      </c>
      <c r="AU130" s="0" t="n">
        <f aca="false">IF(AS130&gt;=Assumptions!$B$29,0,-PV(Assumptions!$B$5,Assumptions!$B$29-AS130,AR130))</f>
        <v>0</v>
      </c>
      <c r="AV130" s="1" t="n">
        <f aca="false">(-PV(Assumptions!$B$3,AT130,AR130))/POWER(1+Assumptions!$B$2,AH130)</f>
        <v>12922.7668100871</v>
      </c>
      <c r="AW130" s="1" t="n">
        <f aca="false">-PV(Assumptions!$B$2,AH130,T130+AI130)</f>
        <v>5318.41766002654</v>
      </c>
      <c r="AX130" s="1" t="n">
        <f aca="false">(-PV(Assumptions!$B$2,C130,S130))-(-PV(Assumptions!$B$2,AH130,S130))</f>
        <v>4175.71854126704</v>
      </c>
      <c r="AY130" s="1" t="n">
        <f aca="false">AJ130+AW130+AX130+(-PV(Assumptions!$B$2,C130,R130))+X130-(W130/POWER(1+Assumptions!$B$2,C130))</f>
        <v>17883.4480668861</v>
      </c>
      <c r="AZ130" s="1" t="n">
        <f aca="false">AY130+AV130+(AU130/POWER(1+Assumptions!$B$2,C130))</f>
        <v>30806.2148769732</v>
      </c>
      <c r="BA130" s="0" t="n">
        <f aca="false">AQ130/POWER(1+Assumptions!$B$2,AH130)</f>
        <v>12489.0564170202</v>
      </c>
      <c r="BB130" s="1" t="n">
        <f aca="false">AY130+BA130</f>
        <v>30372.5044839063</v>
      </c>
      <c r="BC130" s="1" t="n">
        <f aca="false">AJ130+Assumptions!$B$28/POWER(1+Assumptions!$B$2,AH130)+(-PV(Assumptions!$B$2,AH130,R130+T130+AI130))</f>
        <v>20453.3957118205</v>
      </c>
      <c r="BD130" s="1" t="n">
        <f aca="false">MIN(Z130,AG130,AZ130)</f>
        <v>30476.9309305632</v>
      </c>
      <c r="BE130" s="0" t="str">
        <f aca="false">IF(BD130=Z130,"Cash",IF(BD130=AG130,"Loan","Lease then buy out"))</f>
        <v>Cash</v>
      </c>
    </row>
    <row r="131" customFormat="false" ht="15" hidden="false" customHeight="false" outlineLevel="0" collapsed="false">
      <c r="A131" s="0" t="s">
        <v>58</v>
      </c>
      <c r="B131" s="0" t="s">
        <v>117</v>
      </c>
      <c r="C131" s="0" t="n">
        <v>6</v>
      </c>
      <c r="D131" s="0" t="n">
        <v>0</v>
      </c>
      <c r="E131" s="0" t="n">
        <v>27950</v>
      </c>
      <c r="F131" s="0" t="n">
        <v>3999</v>
      </c>
      <c r="G131" s="0" t="n">
        <v>299</v>
      </c>
      <c r="H131" s="0" t="n">
        <v>36</v>
      </c>
      <c r="I131" s="0" t="n">
        <v>51</v>
      </c>
      <c r="J131" s="0" t="n">
        <v>10055</v>
      </c>
      <c r="K131" s="0" t="s">
        <v>99</v>
      </c>
      <c r="L131" s="0" t="n">
        <v>120.7</v>
      </c>
      <c r="M131" s="0" t="n">
        <f aca="false">MAX(Assumptions!$B$33,Assumptions!$B$30-Assumptions!$B$31*(H131-36)-IF(D131=1,Assumptions!$B$32,0))</f>
        <v>0.57</v>
      </c>
      <c r="N131" s="0" t="n">
        <f aca="false">E131*M131</f>
        <v>15931.5</v>
      </c>
      <c r="O131" s="0" t="n">
        <f aca="false">1-POWER(J131/E131,0.1)</f>
        <v>0.0971823804211457</v>
      </c>
      <c r="P131" s="0" t="n">
        <f aca="false">E131*(1+Assumptions!$B$8)+Assumptions!$B$9</f>
        <v>29747.5</v>
      </c>
      <c r="Q131" s="0" t="n">
        <f aca="false">IF(D131=1,Assumptions!$B$14*33.7,Assumptions!$B$13)</f>
        <v>3.1</v>
      </c>
      <c r="R131" s="0" t="n">
        <f aca="false">(Assumptions!$B$10/I131)*Q131</f>
        <v>607.843137254902</v>
      </c>
      <c r="S131" s="0" t="n">
        <f aca="false">Assumptions!$B$15+Assumptions!$B$17</f>
        <v>1750</v>
      </c>
      <c r="T131" s="0" t="n">
        <f aca="false">Assumptions!$B$15*(1+Assumptions!$B$16)+Assumptions!$B$17</f>
        <v>1942</v>
      </c>
      <c r="U131" s="0" t="n">
        <f aca="false">IF(OR(C131&gt;Assumptions!$B$11,Assumptions!$B$10*C131&gt;Assumptions!$B$12),1,0)</f>
        <v>0</v>
      </c>
      <c r="V131" s="0" t="n">
        <f aca="false">MAX(0.6,1-Assumptions!$B$22*MAX(0,(Assumptions!$B$10-10000)*C131)/10000)</f>
        <v>1</v>
      </c>
      <c r="W131" s="0" t="n">
        <f aca="false">IF(U131=1,Assumptions!$B$23,MAX(Assumptions!$B$23,E131*POWER(1-O131,C131)*V131))</f>
        <v>15134.984127957</v>
      </c>
      <c r="X131" s="0" t="n">
        <f aca="true">SUMPRODUCT((ROW(INDIRECT("1:"&amp;C131))&gt;Assumptions!$B$20)*Assumptions!$B$18*POWER(Assumptions!$B$19,ROW(INDIRECT("1:"&amp;C131))-Assumptions!$B$20-1)*IF(ROW(INDIRECT("1:"&amp;C131))&gt;Assumptions!$B$11,Assumptions!$B$21,1)/POWER(1+Assumptions!$B$2,ROW(INDIRECT("1:"&amp;C131))))</f>
        <v>2475.151938064</v>
      </c>
      <c r="Y131" s="1" t="n">
        <f aca="false">-PV(Assumptions!$B$2,C131,R131+S131)+X131</f>
        <v>14558.5178782884</v>
      </c>
      <c r="Z131" s="1" t="n">
        <f aca="false">P131+Y131-(W131/POWER(1+Assumptions!$B$2,C131))</f>
        <v>32816.4980286439</v>
      </c>
      <c r="AA131" s="0" t="n">
        <f aca="false">P131*Assumptions!$B$7</f>
        <v>2974.75</v>
      </c>
      <c r="AB131" s="0" t="n">
        <f aca="false">P131-AA131</f>
        <v>26772.75</v>
      </c>
      <c r="AC131" s="1" t="n">
        <f aca="false">PMT(Assumptions!$B$5,Assumptions!$B$6,-AB131)</f>
        <v>530.006233030505</v>
      </c>
      <c r="AD131" s="0" t="n">
        <f aca="false">C131*12</f>
        <v>72</v>
      </c>
      <c r="AE131" s="0" t="n">
        <f aca="false">MIN(Assumptions!$B$6,AD131)</f>
        <v>60</v>
      </c>
      <c r="AF131" s="0" t="n">
        <f aca="false">IF(AD131&gt;=Assumptions!$B$6,0,-PV(Assumptions!$B$5,Assumptions!$B$6-AD131,AC131))</f>
        <v>0</v>
      </c>
      <c r="AG131" s="1" t="n">
        <f aca="false">AA131+(-PV(Assumptions!$B$3,AE131,AC131))+Y131-((W131-AF131)/POWER(1+Assumptions!$B$2,C131))</f>
        <v>34334.7392344765</v>
      </c>
      <c r="AH131" s="0" t="n">
        <f aca="false">H131/12</f>
        <v>3</v>
      </c>
      <c r="AI131" s="0" t="n">
        <f aca="false">MAX(0,Assumptions!$B$10-Assumptions!$B$24)*Assumptions!$B$25</f>
        <v>0</v>
      </c>
      <c r="AJ131" s="1" t="n">
        <f aca="false">F131+Assumptions!$B$27+(-PV(Assumptions!$B$3,H131-1,G131))</f>
        <v>14460.5699033336</v>
      </c>
      <c r="AK131" s="0" t="n">
        <f aca="false">CEILING(C131/AH131,1)</f>
        <v>2</v>
      </c>
      <c r="AL131" s="0" t="n">
        <f aca="false">(1+Assumptions!$B$26)/POWER(1+Assumptions!$B$2,AH131)</f>
        <v>0.906135810905202</v>
      </c>
      <c r="AM131" s="0" t="n">
        <f aca="false">IF(ABS(1-AL131)&lt;0.000000000001,AK131,(1-POWER(AL131,AK131))/(1-AL131))</f>
        <v>1.9061358109052</v>
      </c>
      <c r="AN131" s="0" t="n">
        <f aca="false">1/POWER(1+Assumptions!$B$2,AH131)</f>
        <v>0.871284433562695</v>
      </c>
      <c r="AO131" s="0" t="n">
        <f aca="false">IF(ABS(1-AN131)&lt;0.000000000001,AK131,AN131*(1-POWER(AN131,AK131))/(1-AN131))</f>
        <v>1.63042099773136</v>
      </c>
      <c r="AP131" s="1" t="n">
        <f aca="false">AJ131*AM131+Assumptions!$B$28*AO131+(-PV(Assumptions!$B$2,C131,R131+T131+AI131))</f>
        <v>41283.2972372999</v>
      </c>
      <c r="AQ131" s="0" t="n">
        <f aca="false">N131*(1+Assumptions!$B$8)</f>
        <v>16728.075</v>
      </c>
      <c r="AR131" s="1" t="n">
        <f aca="false">PMT(Assumptions!$B$5,Assumptions!$B$29,-AQ131)</f>
        <v>516.437912196244</v>
      </c>
      <c r="AS131" s="0" t="n">
        <f aca="false">MAX(0,AD131-H131)</f>
        <v>36</v>
      </c>
      <c r="AT131" s="0" t="n">
        <f aca="false">MIN(Assumptions!$B$29,AS131)</f>
        <v>36</v>
      </c>
      <c r="AU131" s="0" t="n">
        <f aca="false">IF(AS131&gt;=Assumptions!$B$29,0,-PV(Assumptions!$B$5,Assumptions!$B$29-AS131,AR131))</f>
        <v>0</v>
      </c>
      <c r="AV131" s="1" t="n">
        <f aca="false">(-PV(Assumptions!$B$3,AT131,AR131))/POWER(1+Assumptions!$B$2,AH131)</f>
        <v>15081.0577178261</v>
      </c>
      <c r="AW131" s="1" t="n">
        <f aca="false">-PV(Assumptions!$B$2,AH131,T131+AI131)</f>
        <v>5318.41766002654</v>
      </c>
      <c r="AX131" s="1" t="n">
        <f aca="false">(-PV(Assumptions!$B$2,C131,S131))-(-PV(Assumptions!$B$2,AH131,S131))</f>
        <v>4175.71854126704</v>
      </c>
      <c r="AY131" s="1" t="n">
        <f aca="false">AJ131+AW131+AX131+(-PV(Assumptions!$B$2,C131,R131))+X131-(W131/POWER(1+Assumptions!$B$2,C131))</f>
        <v>18055.3847140193</v>
      </c>
      <c r="AZ131" s="1" t="n">
        <f aca="false">AY131+AV131+(AU131/POWER(1+Assumptions!$B$2,C131))</f>
        <v>33136.4424318453</v>
      </c>
      <c r="BA131" s="0" t="n">
        <f aca="false">AQ131/POWER(1+Assumptions!$B$2,AH131)</f>
        <v>14574.9113509693</v>
      </c>
      <c r="BB131" s="1" t="n">
        <f aca="false">AY131+BA131</f>
        <v>32630.2960649885</v>
      </c>
      <c r="BC131" s="1" t="n">
        <f aca="false">AJ131+Assumptions!$B$28/POWER(1+Assumptions!$B$2,AH131)+(-PV(Assumptions!$B$2,AH131,R131+T131+AI131))</f>
        <v>21792.1582243766</v>
      </c>
      <c r="BD131" s="1" t="n">
        <f aca="false">MIN(Z131,AG131,AZ131)</f>
        <v>32816.4980286439</v>
      </c>
      <c r="BE131" s="0" t="str">
        <f aca="false">IF(BD131=Z131,"Cash",IF(BD131=AG131,"Loan","Lease then buy out"))</f>
        <v>Cash</v>
      </c>
    </row>
    <row r="132" customFormat="false" ht="15" hidden="false" customHeight="false" outlineLevel="0" collapsed="false">
      <c r="A132" s="0" t="s">
        <v>118</v>
      </c>
      <c r="B132" s="0" t="s">
        <v>119</v>
      </c>
      <c r="C132" s="0" t="n">
        <v>6</v>
      </c>
      <c r="D132" s="0" t="n">
        <v>0</v>
      </c>
      <c r="E132" s="0" t="n">
        <v>35800</v>
      </c>
      <c r="F132" s="0" t="n">
        <v>3820</v>
      </c>
      <c r="G132" s="0" t="n">
        <v>426</v>
      </c>
      <c r="H132" s="0" t="n">
        <v>36</v>
      </c>
      <c r="I132" s="0" t="n">
        <v>32</v>
      </c>
      <c r="J132" s="0" t="n">
        <v>10148</v>
      </c>
      <c r="K132" s="0" t="s">
        <v>99</v>
      </c>
      <c r="L132" s="0" t="n">
        <v>121.6</v>
      </c>
      <c r="M132" s="0" t="n">
        <f aca="false">MAX(Assumptions!$B$33,Assumptions!$B$30-Assumptions!$B$31*(H132-36)-IF(D132=1,Assumptions!$B$32,0))</f>
        <v>0.57</v>
      </c>
      <c r="N132" s="0" t="n">
        <f aca="false">E132*M132</f>
        <v>20406</v>
      </c>
      <c r="O132" s="0" t="n">
        <f aca="false">1-POWER(J132/E132,0.1)</f>
        <v>0.11844432977423</v>
      </c>
      <c r="P132" s="0" t="n">
        <f aca="false">E132*(1+Assumptions!$B$8)+Assumptions!$B$9</f>
        <v>37990</v>
      </c>
      <c r="Q132" s="0" t="n">
        <f aca="false">IF(D132=1,Assumptions!$B$14*33.7,Assumptions!$B$13)</f>
        <v>3.1</v>
      </c>
      <c r="R132" s="0" t="n">
        <f aca="false">(Assumptions!$B$10/I132)*Q132</f>
        <v>968.75</v>
      </c>
      <c r="S132" s="0" t="n">
        <f aca="false">Assumptions!$B$15+Assumptions!$B$17</f>
        <v>1750</v>
      </c>
      <c r="T132" s="0" t="n">
        <f aca="false">Assumptions!$B$15*(1+Assumptions!$B$16)+Assumptions!$B$17</f>
        <v>1942</v>
      </c>
      <c r="U132" s="0" t="n">
        <f aca="false">IF(OR(C132&gt;Assumptions!$B$11,Assumptions!$B$10*C132&gt;Assumptions!$B$12),1,0)</f>
        <v>0</v>
      </c>
      <c r="V132" s="0" t="n">
        <f aca="false">MAX(0.6,1-Assumptions!$B$22*MAX(0,(Assumptions!$B$10-10000)*C132)/10000)</f>
        <v>1</v>
      </c>
      <c r="W132" s="0" t="n">
        <f aca="false">IF(U132=1,Assumptions!$B$23,MAX(Assumptions!$B$23,E132*POWER(1-O132,C132)*V132))</f>
        <v>16802.793332925</v>
      </c>
      <c r="X132" s="0" t="n">
        <f aca="true">SUMPRODUCT((ROW(INDIRECT("1:"&amp;C132))&gt;Assumptions!$B$20)*Assumptions!$B$18*POWER(Assumptions!$B$19,ROW(INDIRECT("1:"&amp;C132))-Assumptions!$B$20-1)*IF(ROW(INDIRECT("1:"&amp;C132))&gt;Assumptions!$B$11,Assumptions!$B$21,1)/POWER(1+Assumptions!$B$2,ROW(INDIRECT("1:"&amp;C132))))</f>
        <v>2475.151938064</v>
      </c>
      <c r="Y132" s="1" t="n">
        <f aca="false">-PV(Assumptions!$B$2,C132,R132+S132)+X132</f>
        <v>16408.0767501159</v>
      </c>
      <c r="Z132" s="1" t="n">
        <f aca="false">P132+Y132-(W132/POWER(1+Assumptions!$B$2,C132))</f>
        <v>41642.4619509231</v>
      </c>
      <c r="AA132" s="0" t="n">
        <f aca="false">P132*Assumptions!$B$7</f>
        <v>3799</v>
      </c>
      <c r="AB132" s="0" t="n">
        <f aca="false">P132-AA132</f>
        <v>34191</v>
      </c>
      <c r="AC132" s="1" t="n">
        <f aca="false">PMT(Assumptions!$B$5,Assumptions!$B$6,-AB132)</f>
        <v>676.861477194013</v>
      </c>
      <c r="AD132" s="0" t="n">
        <f aca="false">C132*12</f>
        <v>72</v>
      </c>
      <c r="AE132" s="0" t="n">
        <f aca="false">MIN(Assumptions!$B$6,AD132)</f>
        <v>60</v>
      </c>
      <c r="AF132" s="0" t="n">
        <f aca="false">IF(AD132&gt;=Assumptions!$B$6,0,-PV(Assumptions!$B$5,Assumptions!$B$6-AD132,AC132))</f>
        <v>0</v>
      </c>
      <c r="AG132" s="1" t="n">
        <f aca="false">AA132+(-PV(Assumptions!$B$3,AE132,AC132))+Y132-((W132-AF132)/POWER(1+Assumptions!$B$2,C132))</f>
        <v>43581.3806301257</v>
      </c>
      <c r="AH132" s="0" t="n">
        <f aca="false">H132/12</f>
        <v>3</v>
      </c>
      <c r="AI132" s="0" t="n">
        <f aca="false">MAX(0,Assumptions!$B$10-Assumptions!$B$24)*Assumptions!$B$25</f>
        <v>0</v>
      </c>
      <c r="AJ132" s="1" t="n">
        <f aca="false">F132+Assumptions!$B$27+(-PV(Assumptions!$B$3,H132-1,G132))</f>
        <v>18427.7885579268</v>
      </c>
      <c r="AK132" s="0" t="n">
        <f aca="false">CEILING(C132/AH132,1)</f>
        <v>2</v>
      </c>
      <c r="AL132" s="0" t="n">
        <f aca="false">(1+Assumptions!$B$26)/POWER(1+Assumptions!$B$2,AH132)</f>
        <v>0.906135810905202</v>
      </c>
      <c r="AM132" s="0" t="n">
        <f aca="false">IF(ABS(1-AL132)&lt;0.000000000001,AK132,(1-POWER(AL132,AK132))/(1-AL132))</f>
        <v>1.9061358109052</v>
      </c>
      <c r="AN132" s="0" t="n">
        <f aca="false">1/POWER(1+Assumptions!$B$2,AH132)</f>
        <v>0.871284433562695</v>
      </c>
      <c r="AO132" s="0" t="n">
        <f aca="false">IF(ABS(1-AN132)&lt;0.000000000001,AK132,AN132*(1-POWER(AN132,AK132))/(1-AN132))</f>
        <v>1.63042099773136</v>
      </c>
      <c r="AP132" s="1" t="n">
        <f aca="false">AJ132*AM132+Assumptions!$B$28*AO132+(-PV(Assumptions!$B$2,C132,R132+T132+AI132))</f>
        <v>50694.9136563387</v>
      </c>
      <c r="AQ132" s="0" t="n">
        <f aca="false">N132*(1+Assumptions!$B$8)</f>
        <v>21426.3</v>
      </c>
      <c r="AR132" s="1" t="n">
        <f aca="false">PMT(Assumptions!$B$5,Assumptions!$B$29,-AQ132)</f>
        <v>661.483980559053</v>
      </c>
      <c r="AS132" s="0" t="n">
        <f aca="false">MAX(0,AD132-H132)</f>
        <v>36</v>
      </c>
      <c r="AT132" s="0" t="n">
        <f aca="false">MIN(Assumptions!$B$29,AS132)</f>
        <v>36</v>
      </c>
      <c r="AU132" s="0" t="n">
        <f aca="false">IF(AS132&gt;=Assumptions!$B$29,0,-PV(Assumptions!$B$5,Assumptions!$B$29-AS132,AR132))</f>
        <v>0</v>
      </c>
      <c r="AV132" s="1" t="n">
        <f aca="false">(-PV(Assumptions!$B$3,AT132,AR132))/POWER(1+Assumptions!$B$2,AH132)</f>
        <v>19316.7036242638</v>
      </c>
      <c r="AW132" s="1" t="n">
        <f aca="false">-PV(Assumptions!$B$2,AH132,T132+AI132)</f>
        <v>5318.41766002654</v>
      </c>
      <c r="AX132" s="1" t="n">
        <f aca="false">(-PV(Assumptions!$B$2,C132,S132))-(-PV(Assumptions!$B$2,AH132,S132))</f>
        <v>4175.71854126704</v>
      </c>
      <c r="AY132" s="1" t="n">
        <f aca="false">AJ132+AW132+AX132+(-PV(Assumptions!$B$2,C132,R132))+X132-(W132/POWER(1+Assumptions!$B$2,C132))</f>
        <v>22606.0672908917</v>
      </c>
      <c r="AZ132" s="1" t="n">
        <f aca="false">AY132+AV132+(AU132/POWER(1+Assumptions!$B$2,C132))</f>
        <v>41922.7709151555</v>
      </c>
      <c r="BA132" s="0" t="n">
        <f aca="false">AQ132/POWER(1+Assumptions!$B$2,AH132)</f>
        <v>18668.4016588444</v>
      </c>
      <c r="BB132" s="1" t="n">
        <f aca="false">AY132+BA132</f>
        <v>41274.468949736</v>
      </c>
      <c r="BC132" s="1" t="n">
        <f aca="false">AJ132+Assumptions!$B$28/POWER(1+Assumptions!$B$2,AH132)+(-PV(Assumptions!$B$2,AH132,R132+T132+AI132))</f>
        <v>26747.7669059772</v>
      </c>
      <c r="BD132" s="1" t="n">
        <f aca="false">MIN(Z132,AG132,AZ132)</f>
        <v>41642.4619509231</v>
      </c>
      <c r="BE132" s="0" t="str">
        <f aca="false">IF(BD132=Z132,"Cash",IF(BD132=AG132,"Loan","Lease then buy out"))</f>
        <v>Cash</v>
      </c>
    </row>
    <row r="133" customFormat="false" ht="15" hidden="false" customHeight="false" outlineLevel="0" collapsed="false">
      <c r="A133" s="0" t="s">
        <v>58</v>
      </c>
      <c r="B133" s="0" t="s">
        <v>120</v>
      </c>
      <c r="C133" s="0" t="n">
        <v>6</v>
      </c>
      <c r="D133" s="0" t="n">
        <v>0</v>
      </c>
      <c r="E133" s="0" t="n">
        <v>34070</v>
      </c>
      <c r="F133" s="0" t="n">
        <v>2928</v>
      </c>
      <c r="G133" s="0" t="n">
        <v>428</v>
      </c>
      <c r="H133" s="0" t="n">
        <v>36</v>
      </c>
      <c r="I133" s="0" t="n">
        <v>55</v>
      </c>
      <c r="J133" s="0" t="n">
        <v>12843</v>
      </c>
      <c r="K133" s="0" t="s">
        <v>99</v>
      </c>
      <c r="L133" s="0" t="n">
        <v>137.4</v>
      </c>
      <c r="M133" s="0" t="n">
        <f aca="false">MAX(Assumptions!$B$33,Assumptions!$B$30-Assumptions!$B$31*(H133-36)-IF(D133=1,Assumptions!$B$32,0))</f>
        <v>0.57</v>
      </c>
      <c r="N133" s="0" t="n">
        <f aca="false">E133*M133</f>
        <v>19419.9</v>
      </c>
      <c r="O133" s="0" t="n">
        <f aca="false">1-POWER(J133/E133,0.1)</f>
        <v>0.0929537442850482</v>
      </c>
      <c r="P133" s="0" t="n">
        <f aca="false">E133*(1+Assumptions!$B$8)+Assumptions!$B$9</f>
        <v>36173.5</v>
      </c>
      <c r="Q133" s="0" t="n">
        <f aca="false">IF(D133=1,Assumptions!$B$14*33.7,Assumptions!$B$13)</f>
        <v>3.1</v>
      </c>
      <c r="R133" s="0" t="n">
        <f aca="false">(Assumptions!$B$10/I133)*Q133</f>
        <v>563.636363636364</v>
      </c>
      <c r="S133" s="0" t="n">
        <f aca="false">Assumptions!$B$15+Assumptions!$B$17</f>
        <v>1750</v>
      </c>
      <c r="T133" s="0" t="n">
        <f aca="false">Assumptions!$B$15*(1+Assumptions!$B$16)+Assumptions!$B$17</f>
        <v>1942</v>
      </c>
      <c r="U133" s="0" t="n">
        <f aca="false">IF(OR(C133&gt;Assumptions!$B$11,Assumptions!$B$10*C133&gt;Assumptions!$B$12),1,0)</f>
        <v>0</v>
      </c>
      <c r="V133" s="0" t="n">
        <f aca="false">MAX(0.6,1-Assumptions!$B$22*MAX(0,(Assumptions!$B$10-10000)*C133)/10000)</f>
        <v>1</v>
      </c>
      <c r="W133" s="0" t="n">
        <f aca="false">IF(U133=1,Assumptions!$B$23,MAX(Assumptions!$B$23,E133*POWER(1-O133,C133)*V133))</f>
        <v>18973.5564157774</v>
      </c>
      <c r="X133" s="0" t="n">
        <f aca="true">SUMPRODUCT((ROW(INDIRECT("1:"&amp;C133))&gt;Assumptions!$B$20)*Assumptions!$B$18*POWER(Assumptions!$B$19,ROW(INDIRECT("1:"&amp;C133))-Assumptions!$B$20-1)*IF(ROW(INDIRECT("1:"&amp;C133))&gt;Assumptions!$B$11,Assumptions!$B$21,1)/POWER(1+Assumptions!$B$2,ROW(INDIRECT("1:"&amp;C133))))</f>
        <v>2475.151938064</v>
      </c>
      <c r="Y133" s="1" t="n">
        <f aca="false">-PV(Assumptions!$B$2,C133,R133+S133)+X133</f>
        <v>14331.9690403995</v>
      </c>
      <c r="Z133" s="1" t="n">
        <f aca="false">P133+Y133-(W133/POWER(1+Assumptions!$B$2,C133))</f>
        <v>36101.9486128659</v>
      </c>
      <c r="AA133" s="0" t="n">
        <f aca="false">P133*Assumptions!$B$7</f>
        <v>3617.35</v>
      </c>
      <c r="AB133" s="0" t="n">
        <f aca="false">P133-AA133</f>
        <v>32556.15</v>
      </c>
      <c r="AC133" s="1" t="n">
        <f aca="false">PMT(Assumptions!$B$5,Assumptions!$B$6,-AB133)</f>
        <v>644.497200454794</v>
      </c>
      <c r="AD133" s="0" t="n">
        <f aca="false">C133*12</f>
        <v>72</v>
      </c>
      <c r="AE133" s="0" t="n">
        <f aca="false">MIN(Assumptions!$B$6,AD133)</f>
        <v>60</v>
      </c>
      <c r="AF133" s="0" t="n">
        <f aca="false">IF(AD133&gt;=Assumptions!$B$6,0,-PV(Assumptions!$B$5,Assumptions!$B$6-AD133,AC133))</f>
        <v>0</v>
      </c>
      <c r="AG133" s="1" t="n">
        <f aca="false">AA133+(-PV(Assumptions!$B$3,AE133,AC133))+Y133-((W133-AF133)/POWER(1+Assumptions!$B$2,C133))</f>
        <v>37948.1574794659</v>
      </c>
      <c r="AH133" s="0" t="n">
        <f aca="false">H133/12</f>
        <v>3</v>
      </c>
      <c r="AI133" s="0" t="n">
        <f aca="false">MAX(0,Assumptions!$B$10-Assumptions!$B$24)*Assumptions!$B$25</f>
        <v>0</v>
      </c>
      <c r="AJ133" s="1" t="n">
        <f aca="false">F133+Assumptions!$B$27+(-PV(Assumptions!$B$3,H133-1,G133))</f>
        <v>17601.0833398889</v>
      </c>
      <c r="AK133" s="0" t="n">
        <f aca="false">CEILING(C133/AH133,1)</f>
        <v>2</v>
      </c>
      <c r="AL133" s="0" t="n">
        <f aca="false">(1+Assumptions!$B$26)/POWER(1+Assumptions!$B$2,AH133)</f>
        <v>0.906135810905202</v>
      </c>
      <c r="AM133" s="0" t="n">
        <f aca="false">IF(ABS(1-AL133)&lt;0.000000000001,AK133,(1-POWER(AL133,AK133))/(1-AL133))</f>
        <v>1.9061358109052</v>
      </c>
      <c r="AN133" s="0" t="n">
        <f aca="false">1/POWER(1+Assumptions!$B$2,AH133)</f>
        <v>0.871284433562695</v>
      </c>
      <c r="AO133" s="0" t="n">
        <f aca="false">IF(ABS(1-AN133)&lt;0.000000000001,AK133,AN133*(1-POWER(AN133,AK133))/(1-AN133))</f>
        <v>1.63042099773136</v>
      </c>
      <c r="AP133" s="1" t="n">
        <f aca="false">AJ133*AM133+Assumptions!$B$28*AO133+(-PV(Assumptions!$B$2,C133,R133+T133+AI133))</f>
        <v>47042.9935254581</v>
      </c>
      <c r="AQ133" s="0" t="n">
        <f aca="false">N133*(1+Assumptions!$B$8)</f>
        <v>20390.895</v>
      </c>
      <c r="AR133" s="1" t="n">
        <f aca="false">PMT(Assumptions!$B$5,Assumptions!$B$29,-AQ133)</f>
        <v>629.518413900753</v>
      </c>
      <c r="AS133" s="0" t="n">
        <f aca="false">MAX(0,AD133-H133)</f>
        <v>36</v>
      </c>
      <c r="AT133" s="0" t="n">
        <f aca="false">MIN(Assumptions!$B$29,AS133)</f>
        <v>36</v>
      </c>
      <c r="AU133" s="0" t="n">
        <f aca="false">IF(AS133&gt;=Assumptions!$B$29,0,-PV(Assumptions!$B$5,Assumptions!$B$29-AS133,AR133))</f>
        <v>0</v>
      </c>
      <c r="AV133" s="1" t="n">
        <f aca="false">(-PV(Assumptions!$B$3,AT133,AR133))/POWER(1+Assumptions!$B$2,AH133)</f>
        <v>18383.2428066667</v>
      </c>
      <c r="AW133" s="1" t="n">
        <f aca="false">-PV(Assumptions!$B$2,AH133,T133+AI133)</f>
        <v>5318.41766002654</v>
      </c>
      <c r="AX133" s="1" t="n">
        <f aca="false">(-PV(Assumptions!$B$2,C133,S133))-(-PV(Assumptions!$B$2,AH133,S133))</f>
        <v>4175.71854126704</v>
      </c>
      <c r="AY133" s="1" t="n">
        <f aca="false">AJ133+AW133+AX133+(-PV(Assumptions!$B$2,C133,R133))+X133-(W133/POWER(1+Assumptions!$B$2,C133))</f>
        <v>18055.3487347966</v>
      </c>
      <c r="AZ133" s="1" t="n">
        <f aca="false">AY133+AV133+(AU133/POWER(1+Assumptions!$B$2,C133))</f>
        <v>36438.5915414633</v>
      </c>
      <c r="BA133" s="0" t="n">
        <f aca="false">AQ133/POWER(1+Assumptions!$B$2,AH133)</f>
        <v>17766.2693999114</v>
      </c>
      <c r="BB133" s="1" t="n">
        <f aca="false">AY133+BA133</f>
        <v>35821.618134708</v>
      </c>
      <c r="BC133" s="1" t="n">
        <f aca="false">AJ133+Assumptions!$B$28/POWER(1+Assumptions!$B$2,AH133)+(-PV(Assumptions!$B$2,AH133,R133+T133+AI133))</f>
        <v>24811.6057054707</v>
      </c>
      <c r="BD133" s="1" t="n">
        <f aca="false">MIN(Z133,AG133,AZ133)</f>
        <v>36101.9486128659</v>
      </c>
      <c r="BE133" s="0" t="str">
        <f aca="false">IF(BD133=Z133,"Cash",IF(BD133=AG133,"Loan","Lease then buy out"))</f>
        <v>Cash</v>
      </c>
    </row>
    <row r="134" customFormat="false" ht="15" hidden="false" customHeight="false" outlineLevel="0" collapsed="false">
      <c r="A134" s="0" t="s">
        <v>103</v>
      </c>
      <c r="B134" s="0" t="s">
        <v>122</v>
      </c>
      <c r="C134" s="0" t="n">
        <v>6</v>
      </c>
      <c r="D134" s="0" t="n">
        <v>0</v>
      </c>
      <c r="E134" s="0" t="n">
        <v>42435</v>
      </c>
      <c r="F134" s="0" t="n">
        <v>3038</v>
      </c>
      <c r="G134" s="0" t="n">
        <v>538</v>
      </c>
      <c r="H134" s="0" t="n">
        <v>36</v>
      </c>
      <c r="I134" s="0" t="n">
        <v>21</v>
      </c>
      <c r="J134" s="0" t="n">
        <v>15190</v>
      </c>
      <c r="K134" s="0" t="s">
        <v>99</v>
      </c>
      <c r="L134" s="0" t="n">
        <v>180.9</v>
      </c>
      <c r="M134" s="0" t="n">
        <f aca="false">MAX(Assumptions!$B$33,Assumptions!$B$30-Assumptions!$B$31*(H134-36)-IF(D134=1,Assumptions!$B$32,0))</f>
        <v>0.57</v>
      </c>
      <c r="N134" s="0" t="n">
        <f aca="false">E134*M134</f>
        <v>24187.95</v>
      </c>
      <c r="O134" s="0" t="n">
        <f aca="false">1-POWER(J134/E134,0.1)</f>
        <v>0.0976326838335125</v>
      </c>
      <c r="P134" s="0" t="n">
        <f aca="false">E134*(1+Assumptions!$B$8)+Assumptions!$B$9</f>
        <v>44956.75</v>
      </c>
      <c r="Q134" s="0" t="n">
        <f aca="false">IF(D134=1,Assumptions!$B$14*33.7,Assumptions!$B$13)</f>
        <v>3.1</v>
      </c>
      <c r="R134" s="0" t="n">
        <f aca="false">(Assumptions!$B$10/I134)*Q134</f>
        <v>1476.19047619048</v>
      </c>
      <c r="S134" s="0" t="n">
        <f aca="false">Assumptions!$B$15+Assumptions!$B$17</f>
        <v>1750</v>
      </c>
      <c r="T134" s="0" t="n">
        <f aca="false">Assumptions!$B$15*(1+Assumptions!$B$16)+Assumptions!$B$17</f>
        <v>1942</v>
      </c>
      <c r="U134" s="0" t="n">
        <f aca="false">IF(OR(C134&gt;Assumptions!$B$11,Assumptions!$B$10*C134&gt;Assumptions!$B$12),1,0)</f>
        <v>0</v>
      </c>
      <c r="V134" s="0" t="n">
        <f aca="false">MAX(0.6,1-Assumptions!$B$22*MAX(0,(Assumptions!$B$10-10000)*C134)/10000)</f>
        <v>1</v>
      </c>
      <c r="W134" s="0" t="n">
        <f aca="false">IF(U134=1,Assumptions!$B$23,MAX(Assumptions!$B$23,E134*POWER(1-O134,C134)*V134))</f>
        <v>22909.9608438162</v>
      </c>
      <c r="X134" s="0" t="n">
        <f aca="true">SUMPRODUCT((ROW(INDIRECT("1:"&amp;C134))&gt;Assumptions!$B$20)*Assumptions!$B$18*POWER(Assumptions!$B$19,ROW(INDIRECT("1:"&amp;C134))-Assumptions!$B$20-1)*IF(ROW(INDIRECT("1:"&amp;C134))&gt;Assumptions!$B$11,Assumptions!$B$21,1)/POWER(1+Assumptions!$B$2,ROW(INDIRECT("1:"&amp;C134))))</f>
        <v>2475.151938064</v>
      </c>
      <c r="Y134" s="1" t="n">
        <f aca="false">-PV(Assumptions!$B$2,C134,R134+S134)+X134</f>
        <v>19008.5843368208</v>
      </c>
      <c r="Z134" s="1" t="n">
        <f aca="false">P134+Y134-(W134/POWER(1+Assumptions!$B$2,C134))</f>
        <v>46573.5453766075</v>
      </c>
      <c r="AA134" s="0" t="n">
        <f aca="false">P134*Assumptions!$B$7</f>
        <v>4495.675</v>
      </c>
      <c r="AB134" s="0" t="n">
        <f aca="false">P134-AA134</f>
        <v>40461.075</v>
      </c>
      <c r="AC134" s="1" t="n">
        <f aca="false">PMT(Assumptions!$B$5,Assumptions!$B$6,-AB134)</f>
        <v>800.986896942404</v>
      </c>
      <c r="AD134" s="0" t="n">
        <f aca="false">C134*12</f>
        <v>72</v>
      </c>
      <c r="AE134" s="0" t="n">
        <f aca="false">MIN(Assumptions!$B$6,AD134)</f>
        <v>60</v>
      </c>
      <c r="AF134" s="0" t="n">
        <f aca="false">IF(AD134&gt;=Assumptions!$B$6,0,-PV(Assumptions!$B$5,Assumptions!$B$6-AD134,AC134))</f>
        <v>0</v>
      </c>
      <c r="AG134" s="1" t="n">
        <f aca="false">AA134+(-PV(Assumptions!$B$3,AE134,AC134))+Y134-((W134-AF134)/POWER(1+Assumptions!$B$2,C134))</f>
        <v>48868.0303024101</v>
      </c>
      <c r="AH134" s="0" t="n">
        <f aca="false">H134/12</f>
        <v>3</v>
      </c>
      <c r="AI134" s="0" t="n">
        <f aca="false">MAX(0,Assumptions!$B$10-Assumptions!$B$24)*Assumptions!$B$25</f>
        <v>0</v>
      </c>
      <c r="AJ134" s="1" t="n">
        <f aca="false">F134+Assumptions!$B$27+(-PV(Assumptions!$B$3,H134-1,G134))</f>
        <v>21302.2963478043</v>
      </c>
      <c r="AK134" s="0" t="n">
        <f aca="false">CEILING(C134/AH134,1)</f>
        <v>2</v>
      </c>
      <c r="AL134" s="0" t="n">
        <f aca="false">(1+Assumptions!$B$26)/POWER(1+Assumptions!$B$2,AH134)</f>
        <v>0.906135810905202</v>
      </c>
      <c r="AM134" s="0" t="n">
        <f aca="false">IF(ABS(1-AL134)&lt;0.000000000001,AK134,(1-POWER(AL134,AK134))/(1-AL134))</f>
        <v>1.9061358109052</v>
      </c>
      <c r="AN134" s="0" t="n">
        <f aca="false">1/POWER(1+Assumptions!$B$2,AH134)</f>
        <v>0.871284433562695</v>
      </c>
      <c r="AO134" s="0" t="n">
        <f aca="false">IF(ABS(1-AN134)&lt;0.000000000001,AK134,AN134*(1-POWER(AN134,AK134))/(1-AN134))</f>
        <v>1.63042099773136</v>
      </c>
      <c r="AP134" s="1" t="n">
        <f aca="false">AJ134*AM134+Assumptions!$B$28*AO134+(-PV(Assumptions!$B$2,C134,R134+T134+AI134))</f>
        <v>58774.6234800549</v>
      </c>
      <c r="AQ134" s="0" t="n">
        <f aca="false">N134*(1+Assumptions!$B$8)</f>
        <v>25397.3475</v>
      </c>
      <c r="AR134" s="1" t="n">
        <f aca="false">PMT(Assumptions!$B$5,Assumptions!$B$29,-AQ134)</f>
        <v>784.080243436409</v>
      </c>
      <c r="AS134" s="0" t="n">
        <f aca="false">MAX(0,AD134-H134)</f>
        <v>36</v>
      </c>
      <c r="AT134" s="0" t="n">
        <f aca="false">MIN(Assumptions!$B$29,AS134)</f>
        <v>36</v>
      </c>
      <c r="AU134" s="0" t="n">
        <f aca="false">IF(AS134&gt;=Assumptions!$B$29,0,-PV(Assumptions!$B$5,Assumptions!$B$29-AS134,AR134))</f>
        <v>0</v>
      </c>
      <c r="AV134" s="1" t="n">
        <f aca="false">(-PV(Assumptions!$B$3,AT134,AR134))/POWER(1+Assumptions!$B$2,AH134)</f>
        <v>22896.7686674758</v>
      </c>
      <c r="AW134" s="1" t="n">
        <f aca="false">-PV(Assumptions!$B$2,AH134,T134+AI134)</f>
        <v>5318.41766002654</v>
      </c>
      <c r="AX134" s="1" t="n">
        <f aca="false">(-PV(Assumptions!$B$2,C134,S134))-(-PV(Assumptions!$B$2,AH134,S134))</f>
        <v>4175.71854126704</v>
      </c>
      <c r="AY134" s="1" t="n">
        <f aca="false">AJ134+AW134+AX134+(-PV(Assumptions!$B$2,C134,R134))+X134-(W134/POWER(1+Assumptions!$B$2,C134))</f>
        <v>23444.9085064536</v>
      </c>
      <c r="AZ134" s="1" t="n">
        <f aca="false">AY134+AV134+(AU134/POWER(1+Assumptions!$B$2,C134))</f>
        <v>46341.6771739294</v>
      </c>
      <c r="BA134" s="0" t="n">
        <f aca="false">AQ134/POWER(1+Assumptions!$B$2,AH134)</f>
        <v>22128.3135305324</v>
      </c>
      <c r="BB134" s="1" t="n">
        <f aca="false">AY134+BA134</f>
        <v>45573.222036986</v>
      </c>
      <c r="BC134" s="1" t="n">
        <f aca="false">AJ134+Assumptions!$B$28/POWER(1+Assumptions!$B$2,AH134)+(-PV(Assumptions!$B$2,AH134,R134+T134+AI134))</f>
        <v>31011.9659368349</v>
      </c>
      <c r="BD134" s="1" t="n">
        <f aca="false">MIN(Z134,AG134,AZ134)</f>
        <v>46341.6771739294</v>
      </c>
      <c r="BE134" s="0" t="str">
        <f aca="false">IF(BD134=Z134,"Cash",IF(BD134=AG134,"Loan","Lease then buy out"))</f>
        <v>Lease then buy out</v>
      </c>
    </row>
    <row r="135" customFormat="false" ht="15" hidden="false" customHeight="false" outlineLevel="0" collapsed="false">
      <c r="A135" s="0" t="s">
        <v>46</v>
      </c>
      <c r="B135" s="0" t="s">
        <v>123</v>
      </c>
      <c r="C135" s="0" t="n">
        <v>6</v>
      </c>
      <c r="D135" s="0" t="n">
        <v>0</v>
      </c>
      <c r="E135" s="0" t="n">
        <v>39672</v>
      </c>
      <c r="F135" s="0" t="n">
        <v>3034</v>
      </c>
      <c r="G135" s="0" t="n">
        <v>534</v>
      </c>
      <c r="H135" s="0" t="n">
        <v>36</v>
      </c>
      <c r="I135" s="0" t="n">
        <v>22</v>
      </c>
      <c r="J135" s="0" t="n">
        <v>11226</v>
      </c>
      <c r="K135" s="0" t="s">
        <v>99</v>
      </c>
      <c r="L135" s="0" t="n">
        <v>193.8</v>
      </c>
      <c r="M135" s="0" t="n">
        <f aca="false">MAX(Assumptions!$B$33,Assumptions!$B$30-Assumptions!$B$31*(H135-36)-IF(D135=1,Assumptions!$B$32,0))</f>
        <v>0.57</v>
      </c>
      <c r="N135" s="0" t="n">
        <f aca="false">E135*M135</f>
        <v>22613.04</v>
      </c>
      <c r="O135" s="0" t="n">
        <f aca="false">1-POWER(J135/E135,0.1)</f>
        <v>0.118597872908143</v>
      </c>
      <c r="P135" s="0" t="n">
        <f aca="false">E135*(1+Assumptions!$B$8)+Assumptions!$B$9</f>
        <v>42055.6</v>
      </c>
      <c r="Q135" s="0" t="n">
        <f aca="false">IF(D135=1,Assumptions!$B$14*33.7,Assumptions!$B$13)</f>
        <v>3.1</v>
      </c>
      <c r="R135" s="0" t="n">
        <f aca="false">(Assumptions!$B$10/I135)*Q135</f>
        <v>1409.09090909091</v>
      </c>
      <c r="S135" s="0" t="n">
        <f aca="false">Assumptions!$B$15+Assumptions!$B$17</f>
        <v>1750</v>
      </c>
      <c r="T135" s="0" t="n">
        <f aca="false">Assumptions!$B$15*(1+Assumptions!$B$16)+Assumptions!$B$17</f>
        <v>1942</v>
      </c>
      <c r="U135" s="0" t="n">
        <f aca="false">IF(OR(C135&gt;Assumptions!$B$11,Assumptions!$B$10*C135&gt;Assumptions!$B$12),1,0)</f>
        <v>0</v>
      </c>
      <c r="V135" s="0" t="n">
        <f aca="false">MAX(0.6,1-Assumptions!$B$22*MAX(0,(Assumptions!$B$10-10000)*C135)/10000)</f>
        <v>1</v>
      </c>
      <c r="W135" s="0" t="n">
        <f aca="false">IF(U135=1,Assumptions!$B$23,MAX(Assumptions!$B$23,E135*POWER(1-O135,C135)*V135))</f>
        <v>18600.6731251168</v>
      </c>
      <c r="X135" s="0" t="n">
        <f aca="true">SUMPRODUCT((ROW(INDIRECT("1:"&amp;C135))&gt;Assumptions!$B$20)*Assumptions!$B$18*POWER(Assumptions!$B$19,ROW(INDIRECT("1:"&amp;C135))-Assumptions!$B$20-1)*IF(ROW(INDIRECT("1:"&amp;C135))&gt;Assumptions!$B$11,Assumptions!$B$21,1)/POWER(1+Assumptions!$B$2,ROW(INDIRECT("1:"&amp;C135))))</f>
        <v>2475.151938064</v>
      </c>
      <c r="Y135" s="1" t="n">
        <f aca="false">-PV(Assumptions!$B$2,C135,R135+S135)+X135</f>
        <v>18664.7155650251</v>
      </c>
      <c r="Z135" s="1" t="n">
        <f aca="false">P135+Y135-(W135/POWER(1+Assumptions!$B$2,C135))</f>
        <v>46599.8644775995</v>
      </c>
      <c r="AA135" s="0" t="n">
        <f aca="false">P135*Assumptions!$B$7</f>
        <v>4205.56</v>
      </c>
      <c r="AB135" s="0" t="n">
        <f aca="false">P135-AA135</f>
        <v>37850.04</v>
      </c>
      <c r="AC135" s="1" t="n">
        <f aca="false">PMT(Assumptions!$B$5,Assumptions!$B$6,-AB135)</f>
        <v>749.297592531733</v>
      </c>
      <c r="AD135" s="0" t="n">
        <f aca="false">C135*12</f>
        <v>72</v>
      </c>
      <c r="AE135" s="0" t="n">
        <f aca="false">MIN(Assumptions!$B$6,AD135)</f>
        <v>60</v>
      </c>
      <c r="AF135" s="0" t="n">
        <f aca="false">IF(AD135&gt;=Assumptions!$B$6,0,-PV(Assumptions!$B$5,Assumptions!$B$6-AD135,AC135))</f>
        <v>0</v>
      </c>
      <c r="AG135" s="1" t="n">
        <f aca="false">AA135+(-PV(Assumptions!$B$3,AE135,AC135))+Y135-((W135-AF135)/POWER(1+Assumptions!$B$2,C135))</f>
        <v>48746.2816506733</v>
      </c>
      <c r="AH135" s="0" t="n">
        <f aca="false">H135/12</f>
        <v>3</v>
      </c>
      <c r="AI135" s="0" t="n">
        <f aca="false">MAX(0,Assumptions!$B$10-Assumptions!$B$24)*Assumptions!$B$25</f>
        <v>0</v>
      </c>
      <c r="AJ135" s="1" t="n">
        <f aca="false">F135+Assumptions!$B$27+(-PV(Assumptions!$B$3,H135-1,G135))</f>
        <v>21167.7067838801</v>
      </c>
      <c r="AK135" s="0" t="n">
        <f aca="false">CEILING(C135/AH135,1)</f>
        <v>2</v>
      </c>
      <c r="AL135" s="0" t="n">
        <f aca="false">(1+Assumptions!$B$26)/POWER(1+Assumptions!$B$2,AH135)</f>
        <v>0.906135810905202</v>
      </c>
      <c r="AM135" s="0" t="n">
        <f aca="false">IF(ABS(1-AL135)&lt;0.000000000001,AK135,(1-POWER(AL135,AK135))/(1-AL135))</f>
        <v>1.9061358109052</v>
      </c>
      <c r="AN135" s="0" t="n">
        <f aca="false">1/POWER(1+Assumptions!$B$2,AH135)</f>
        <v>0.871284433562695</v>
      </c>
      <c r="AO135" s="0" t="n">
        <f aca="false">IF(ABS(1-AN135)&lt;0.000000000001,AK135,AN135*(1-POWER(AN135,AK135))/(1-AN135))</f>
        <v>1.63042099773136</v>
      </c>
      <c r="AP135" s="1" t="n">
        <f aca="false">AJ135*AM135+Assumptions!$B$28*AO135+(-PV(Assumptions!$B$2,C135,R135+T135+AI135))</f>
        <v>58174.2087206893</v>
      </c>
      <c r="AQ135" s="0" t="n">
        <f aca="false">N135*(1+Assumptions!$B$8)</f>
        <v>23743.692</v>
      </c>
      <c r="AR135" s="1" t="n">
        <f aca="false">PMT(Assumptions!$B$5,Assumptions!$B$29,-AQ135)</f>
        <v>733.027722813932</v>
      </c>
      <c r="AS135" s="0" t="n">
        <f aca="false">MAX(0,AD135-H135)</f>
        <v>36</v>
      </c>
      <c r="AT135" s="0" t="n">
        <f aca="false">MIN(Assumptions!$B$29,AS135)</f>
        <v>36</v>
      </c>
      <c r="AU135" s="0" t="n">
        <f aca="false">IF(AS135&gt;=Assumptions!$B$29,0,-PV(Assumptions!$B$5,Assumptions!$B$29-AS135,AR135))</f>
        <v>0</v>
      </c>
      <c r="AV135" s="1" t="n">
        <f aca="false">(-PV(Assumptions!$B$3,AT135,AR135))/POWER(1+Assumptions!$B$2,AH135)</f>
        <v>21405.9292229551</v>
      </c>
      <c r="AW135" s="1" t="n">
        <f aca="false">-PV(Assumptions!$B$2,AH135,T135+AI135)</f>
        <v>5318.41766002654</v>
      </c>
      <c r="AX135" s="1" t="n">
        <f aca="false">(-PV(Assumptions!$B$2,C135,S135))-(-PV(Assumptions!$B$2,AH135,S135))</f>
        <v>4175.71854126704</v>
      </c>
      <c r="AY135" s="1" t="n">
        <f aca="false">AJ135+AW135+AX135+(-PV(Assumptions!$B$2,C135,R135))+X135-(W135/POWER(1+Assumptions!$B$2,C135))</f>
        <v>26237.7880435214</v>
      </c>
      <c r="AZ135" s="1" t="n">
        <f aca="false">AY135+AV135+(AU135/POWER(1+Assumptions!$B$2,C135))</f>
        <v>47643.7172664765</v>
      </c>
      <c r="BA135" s="0" t="n">
        <f aca="false">AQ135/POWER(1+Assumptions!$B$2,AH135)</f>
        <v>20687.5092349071</v>
      </c>
      <c r="BB135" s="1" t="n">
        <f aca="false">AY135+BA135</f>
        <v>46925.2972784284</v>
      </c>
      <c r="BC135" s="1" t="n">
        <f aca="false">AJ135+Assumptions!$B$28/POWER(1+Assumptions!$B$2,AH135)+(-PV(Assumptions!$B$2,AH135,R135+T135+AI135))</f>
        <v>30693.6155476571</v>
      </c>
      <c r="BD135" s="1" t="n">
        <f aca="false">MIN(Z135,AG135,AZ135)</f>
        <v>46599.8644775995</v>
      </c>
      <c r="BE135" s="0" t="str">
        <f aca="false">IF(BD135=Z135,"Cash",IF(BD135=AG135,"Loan","Lease then buy out"))</f>
        <v>Cash</v>
      </c>
    </row>
    <row r="136" customFormat="false" ht="15" hidden="false" customHeight="false" outlineLevel="0" collapsed="false">
      <c r="A136" s="0" t="s">
        <v>82</v>
      </c>
      <c r="B136" s="0" t="s">
        <v>124</v>
      </c>
      <c r="C136" s="0" t="n">
        <v>6</v>
      </c>
      <c r="D136" s="0" t="n">
        <v>0</v>
      </c>
      <c r="E136" s="0" t="n">
        <v>44500</v>
      </c>
      <c r="F136" s="0" t="n">
        <v>4639</v>
      </c>
      <c r="G136" s="0" t="n">
        <v>589</v>
      </c>
      <c r="H136" s="0" t="n">
        <v>36</v>
      </c>
      <c r="I136" s="0" t="n">
        <v>32</v>
      </c>
      <c r="J136" s="0" t="n">
        <v>13595</v>
      </c>
      <c r="K136" s="0" t="s">
        <v>107</v>
      </c>
      <c r="L136" s="0" t="n">
        <v>118</v>
      </c>
      <c r="M136" s="0" t="n">
        <f aca="false">MAX(Assumptions!$B$33,Assumptions!$B$30-Assumptions!$B$31*(H136-36)-IF(D136=1,Assumptions!$B$32,0))</f>
        <v>0.57</v>
      </c>
      <c r="N136" s="0" t="n">
        <f aca="false">E136*M136</f>
        <v>25365</v>
      </c>
      <c r="O136" s="0" t="n">
        <f aca="false">1-POWER(J136/E136,0.1)</f>
        <v>0.111818096876996</v>
      </c>
      <c r="P136" s="0" t="n">
        <f aca="false">E136*(1+Assumptions!$B$8)+Assumptions!$B$9</f>
        <v>47125</v>
      </c>
      <c r="Q136" s="0" t="n">
        <f aca="false">IF(D136=1,Assumptions!$B$14*33.7,Assumptions!$B$13)</f>
        <v>3.1</v>
      </c>
      <c r="R136" s="0" t="n">
        <f aca="false">(Assumptions!$B$10/I136)*Q136</f>
        <v>968.75</v>
      </c>
      <c r="S136" s="0" t="n">
        <f aca="false">Assumptions!$B$15+Assumptions!$B$17</f>
        <v>1750</v>
      </c>
      <c r="T136" s="0" t="n">
        <f aca="false">Assumptions!$B$15*(1+Assumptions!$B$16)+Assumptions!$B$17</f>
        <v>1942</v>
      </c>
      <c r="U136" s="0" t="n">
        <f aca="false">IF(OR(C136&gt;Assumptions!$B$11,Assumptions!$B$10*C136&gt;Assumptions!$B$12),1,0)</f>
        <v>0</v>
      </c>
      <c r="V136" s="0" t="n">
        <f aca="false">MAX(0.6,1-Assumptions!$B$22*MAX(0,(Assumptions!$B$10-10000)*C136)/10000)</f>
        <v>1</v>
      </c>
      <c r="W136" s="0" t="n">
        <f aca="false">IF(U136=1,Assumptions!$B$23,MAX(Assumptions!$B$23,E136*POWER(1-O136,C136)*V136))</f>
        <v>21845.9799912182</v>
      </c>
      <c r="X136" s="0" t="n">
        <f aca="true">SUMPRODUCT((ROW(INDIRECT("1:"&amp;C136))&gt;Assumptions!$B$20)*Assumptions!$B$18*POWER(Assumptions!$B$19,ROW(INDIRECT("1:"&amp;C136))-Assumptions!$B$20-1)*IF(ROW(INDIRECT("1:"&amp;C136))&gt;Assumptions!$B$11,Assumptions!$B$21,1)/POWER(1+Assumptions!$B$2,ROW(INDIRECT("1:"&amp;C136))))</f>
        <v>2475.151938064</v>
      </c>
      <c r="Y136" s="1" t="n">
        <f aca="false">-PV(Assumptions!$B$2,C136,R136+S136)+X136</f>
        <v>16408.0767501159</v>
      </c>
      <c r="Z136" s="1" t="n">
        <f aca="false">P136+Y136-(W136/POWER(1+Assumptions!$B$2,C136))</f>
        <v>46948.9945586852</v>
      </c>
      <c r="AA136" s="0" t="n">
        <f aca="false">P136*Assumptions!$B$7</f>
        <v>4712.5</v>
      </c>
      <c r="AB136" s="0" t="n">
        <f aca="false">P136-AA136</f>
        <v>42412.5</v>
      </c>
      <c r="AC136" s="1" t="n">
        <f aca="false">PMT(Assumptions!$B$5,Assumptions!$B$6,-AB136)</f>
        <v>839.618244610894</v>
      </c>
      <c r="AD136" s="0" t="n">
        <f aca="false">C136*12</f>
        <v>72</v>
      </c>
      <c r="AE136" s="0" t="n">
        <f aca="false">MIN(Assumptions!$B$6,AD136)</f>
        <v>60</v>
      </c>
      <c r="AF136" s="0" t="n">
        <f aca="false">IF(AD136&gt;=Assumptions!$B$6,0,-PV(Assumptions!$B$5,Assumptions!$B$6-AD136,AC136))</f>
        <v>0</v>
      </c>
      <c r="AG136" s="1" t="n">
        <f aca="false">AA136+(-PV(Assumptions!$B$3,AE136,AC136))+Y136-((W136-AF136)/POWER(1+Assumptions!$B$2,C136))</f>
        <v>49354.1417752533</v>
      </c>
      <c r="AH136" s="0" t="n">
        <f aca="false">H136/12</f>
        <v>3</v>
      </c>
      <c r="AI136" s="0" t="n">
        <f aca="false">MAX(0,Assumptions!$B$10-Assumptions!$B$24)*Assumptions!$B$25</f>
        <v>0</v>
      </c>
      <c r="AJ136" s="1" t="n">
        <f aca="false">F136+Assumptions!$B$27+(-PV(Assumptions!$B$3,H136-1,G136))</f>
        <v>24568.3132878378</v>
      </c>
      <c r="AK136" s="0" t="n">
        <f aca="false">CEILING(C136/AH136,1)</f>
        <v>2</v>
      </c>
      <c r="AL136" s="0" t="n">
        <f aca="false">(1+Assumptions!$B$26)/POWER(1+Assumptions!$B$2,AH136)</f>
        <v>0.906135810905202</v>
      </c>
      <c r="AM136" s="0" t="n">
        <f aca="false">IF(ABS(1-AL136)&lt;0.000000000001,AK136,(1-POWER(AL136,AK136))/(1-AL136))</f>
        <v>1.9061358109052</v>
      </c>
      <c r="AN136" s="0" t="n">
        <f aca="false">1/POWER(1+Assumptions!$B$2,AH136)</f>
        <v>0.871284433562695</v>
      </c>
      <c r="AO136" s="0" t="n">
        <f aca="false">IF(ABS(1-AN136)&lt;0.000000000001,AK136,AN136*(1-POWER(AN136,AK136))/(1-AN136))</f>
        <v>1.63042099773136</v>
      </c>
      <c r="AP136" s="1" t="n">
        <f aca="false">AJ136*AM136+Assumptions!$B$28*AO136+(-PV(Assumptions!$B$2,C136,R136+T136+AI136))</f>
        <v>62399.587741771</v>
      </c>
      <c r="AQ136" s="0" t="n">
        <f aca="false">N136*(1+Assumptions!$B$8)</f>
        <v>26633.25</v>
      </c>
      <c r="AR136" s="1" t="n">
        <f aca="false">PMT(Assumptions!$B$5,Assumptions!$B$29,-AQ136)</f>
        <v>822.2356741586</v>
      </c>
      <c r="AS136" s="0" t="n">
        <f aca="false">MAX(0,AD136-H136)</f>
        <v>36</v>
      </c>
      <c r="AT136" s="0" t="n">
        <f aca="false">MIN(Assumptions!$B$29,AS136)</f>
        <v>36</v>
      </c>
      <c r="AU136" s="0" t="n">
        <f aca="false">IF(AS136&gt;=Assumptions!$B$29,0,-PV(Assumptions!$B$5,Assumptions!$B$29-AS136,AR136))</f>
        <v>0</v>
      </c>
      <c r="AV136" s="1" t="n">
        <f aca="false">(-PV(Assumptions!$B$3,AT136,AR136))/POWER(1+Assumptions!$B$2,AH136)</f>
        <v>24010.9863485961</v>
      </c>
      <c r="AW136" s="1" t="n">
        <f aca="false">-PV(Assumptions!$B$2,AH136,T136+AI136)</f>
        <v>5318.41766002654</v>
      </c>
      <c r="AX136" s="1" t="n">
        <f aca="false">(-PV(Assumptions!$B$2,C136,S136))-(-PV(Assumptions!$B$2,AH136,S136))</f>
        <v>4175.71854126704</v>
      </c>
      <c r="AY136" s="1" t="n">
        <f aca="false">AJ136+AW136+AX136+(-PV(Assumptions!$B$2,C136,R136))+X136-(W136/POWER(1+Assumptions!$B$2,C136))</f>
        <v>24918.1246285647</v>
      </c>
      <c r="AZ136" s="1" t="n">
        <f aca="false">AY136+AV136+(AU136/POWER(1+Assumptions!$B$2,C136))</f>
        <v>48929.1109771608</v>
      </c>
      <c r="BA136" s="0" t="n">
        <f aca="false">AQ136/POWER(1+Assumptions!$B$2,AH136)</f>
        <v>23205.1361401836</v>
      </c>
      <c r="BB136" s="1" t="n">
        <f aca="false">AY136+BA136</f>
        <v>48123.2607687484</v>
      </c>
      <c r="BC136" s="1" t="n">
        <f aca="false">AJ136+Assumptions!$B$28/POWER(1+Assumptions!$B$2,AH136)+(-PV(Assumptions!$B$2,AH136,R136+T136+AI136))</f>
        <v>32888.2916358881</v>
      </c>
      <c r="BD136" s="1" t="n">
        <f aca="false">MIN(Z136,AG136,AZ136)</f>
        <v>46948.9945586852</v>
      </c>
      <c r="BE136" s="0" t="str">
        <f aca="false">IF(BD136=Z136,"Cash",IF(BD136=AG136,"Loan","Lease then buy out"))</f>
        <v>Cash</v>
      </c>
    </row>
    <row r="137" customFormat="false" ht="15" hidden="false" customHeight="false" outlineLevel="0" collapsed="false">
      <c r="A137" s="0" t="s">
        <v>43</v>
      </c>
      <c r="B137" s="0" t="s">
        <v>125</v>
      </c>
      <c r="C137" s="0" t="n">
        <v>6</v>
      </c>
      <c r="D137" s="0" t="n">
        <v>0</v>
      </c>
      <c r="E137" s="0" t="n">
        <v>41866</v>
      </c>
      <c r="F137" s="0" t="n">
        <v>2984</v>
      </c>
      <c r="G137" s="0" t="n">
        <v>484</v>
      </c>
      <c r="H137" s="0" t="n">
        <v>36</v>
      </c>
      <c r="I137" s="0" t="n">
        <v>24</v>
      </c>
      <c r="J137" s="0" t="n">
        <v>14730</v>
      </c>
      <c r="K137" s="0" t="s">
        <v>99</v>
      </c>
      <c r="L137" s="0" t="n">
        <v>184</v>
      </c>
      <c r="M137" s="0" t="n">
        <f aca="false">MAX(Assumptions!$B$33,Assumptions!$B$30-Assumptions!$B$31*(H137-36)-IF(D137=1,Assumptions!$B$32,0))</f>
        <v>0.57</v>
      </c>
      <c r="N137" s="0" t="n">
        <f aca="false">E137*M137</f>
        <v>23863.62</v>
      </c>
      <c r="O137" s="0" t="n">
        <f aca="false">1-POWER(J137/E137,0.1)</f>
        <v>0.0991880728994194</v>
      </c>
      <c r="P137" s="0" t="n">
        <f aca="false">E137*(1+Assumptions!$B$8)+Assumptions!$B$9</f>
        <v>44359.3</v>
      </c>
      <c r="Q137" s="0" t="n">
        <f aca="false">IF(D137=1,Assumptions!$B$14*33.7,Assumptions!$B$13)</f>
        <v>3.1</v>
      </c>
      <c r="R137" s="0" t="n">
        <f aca="false">(Assumptions!$B$10/I137)*Q137</f>
        <v>1291.66666666667</v>
      </c>
      <c r="S137" s="0" t="n">
        <f aca="false">Assumptions!$B$15+Assumptions!$B$17</f>
        <v>1750</v>
      </c>
      <c r="T137" s="0" t="n">
        <f aca="false">Assumptions!$B$15*(1+Assumptions!$B$16)+Assumptions!$B$17</f>
        <v>1942</v>
      </c>
      <c r="U137" s="0" t="n">
        <f aca="false">IF(OR(C137&gt;Assumptions!$B$11,Assumptions!$B$10*C137&gt;Assumptions!$B$12),1,0)</f>
        <v>0</v>
      </c>
      <c r="V137" s="0" t="n">
        <f aca="false">MAX(0.6,1-Assumptions!$B$22*MAX(0,(Assumptions!$B$10-10000)*C137)/10000)</f>
        <v>1</v>
      </c>
      <c r="W137" s="0" t="n">
        <f aca="false">IF(U137=1,Assumptions!$B$23,MAX(Assumptions!$B$23,E137*POWER(1-O137,C137)*V137))</f>
        <v>22370.0129623364</v>
      </c>
      <c r="X137" s="0" t="n">
        <f aca="true">SUMPRODUCT((ROW(INDIRECT("1:"&amp;C137))&gt;Assumptions!$B$20)*Assumptions!$B$18*POWER(Assumptions!$B$19,ROW(INDIRECT("1:"&amp;C137))-Assumptions!$B$20-1)*IF(ROW(INDIRECT("1:"&amp;C137))&gt;Assumptions!$B$11,Assumptions!$B$21,1)/POWER(1+Assumptions!$B$2,ROW(INDIRECT("1:"&amp;C137))))</f>
        <v>2475.151938064</v>
      </c>
      <c r="Y137" s="1" t="n">
        <f aca="false">-PV(Assumptions!$B$2,C137,R137+S137)+X137</f>
        <v>18062.9452143826</v>
      </c>
      <c r="Z137" s="1" t="n">
        <f aca="false">P137+Y137-(W137/POWER(1+Assumptions!$B$2,C137))</f>
        <v>45440.3504337461</v>
      </c>
      <c r="AA137" s="0" t="n">
        <f aca="false">P137*Assumptions!$B$7</f>
        <v>4435.93</v>
      </c>
      <c r="AB137" s="0" t="n">
        <f aca="false">P137-AA137</f>
        <v>39923.37</v>
      </c>
      <c r="AC137" s="1" t="n">
        <f aca="false">PMT(Assumptions!$B$5,Assumptions!$B$6,-AB137)</f>
        <v>790.342230199852</v>
      </c>
      <c r="AD137" s="0" t="n">
        <f aca="false">C137*12</f>
        <v>72</v>
      </c>
      <c r="AE137" s="0" t="n">
        <f aca="false">MIN(Assumptions!$B$6,AD137)</f>
        <v>60</v>
      </c>
      <c r="AF137" s="0" t="n">
        <f aca="false">IF(AD137&gt;=Assumptions!$B$6,0,-PV(Assumptions!$B$5,Assumptions!$B$6-AD137,AC137))</f>
        <v>0</v>
      </c>
      <c r="AG137" s="1" t="n">
        <f aca="false">AA137+(-PV(Assumptions!$B$3,AE137,AC137))+Y137-((W137-AF137)/POWER(1+Assumptions!$B$2,C137))</f>
        <v>47704.3429414152</v>
      </c>
      <c r="AH137" s="0" t="n">
        <f aca="false">H137/12</f>
        <v>3</v>
      </c>
      <c r="AI137" s="0" t="n">
        <f aca="false">MAX(0,Assumptions!$B$10-Assumptions!$B$24)*Assumptions!$B$25</f>
        <v>0</v>
      </c>
      <c r="AJ137" s="1" t="n">
        <f aca="false">F137+Assumptions!$B$27+(-PV(Assumptions!$B$3,H137-1,G137))</f>
        <v>19485.3372348277</v>
      </c>
      <c r="AK137" s="0" t="n">
        <f aca="false">CEILING(C137/AH137,1)</f>
        <v>2</v>
      </c>
      <c r="AL137" s="0" t="n">
        <f aca="false">(1+Assumptions!$B$26)/POWER(1+Assumptions!$B$2,AH137)</f>
        <v>0.906135810905202</v>
      </c>
      <c r="AM137" s="0" t="n">
        <f aca="false">IF(ABS(1-AL137)&lt;0.000000000001,AK137,(1-POWER(AL137,AK137))/(1-AL137))</f>
        <v>1.9061358109052</v>
      </c>
      <c r="AN137" s="0" t="n">
        <f aca="false">1/POWER(1+Assumptions!$B$2,AH137)</f>
        <v>0.871284433562695</v>
      </c>
      <c r="AO137" s="0" t="n">
        <f aca="false">IF(ABS(1-AN137)&lt;0.000000000001,AK137,AN137*(1-POWER(AN137,AK137))/(1-AN137))</f>
        <v>1.63042099773136</v>
      </c>
      <c r="AP137" s="1" t="n">
        <f aca="false">AJ137*AM137+Assumptions!$B$28*AO137+(-PV(Assumptions!$B$2,C137,R137+T137+AI137))</f>
        <v>54365.6135254215</v>
      </c>
      <c r="AQ137" s="0" t="n">
        <f aca="false">N137*(1+Assumptions!$B$8)</f>
        <v>25056.801</v>
      </c>
      <c r="AR137" s="1" t="n">
        <f aca="false">PMT(Assumptions!$B$5,Assumptions!$B$29,-AQ137)</f>
        <v>773.566713130875</v>
      </c>
      <c r="AS137" s="0" t="n">
        <f aca="false">MAX(0,AD137-H137)</f>
        <v>36</v>
      </c>
      <c r="AT137" s="0" t="n">
        <f aca="false">MIN(Assumptions!$B$29,AS137)</f>
        <v>36</v>
      </c>
      <c r="AU137" s="0" t="n">
        <f aca="false">IF(AS137&gt;=Assumptions!$B$29,0,-PV(Assumptions!$B$5,Assumptions!$B$29-AS137,AR137))</f>
        <v>0</v>
      </c>
      <c r="AV137" s="1" t="n">
        <f aca="false">(-PV(Assumptions!$B$3,AT137,AR137))/POWER(1+Assumptions!$B$2,AH137)</f>
        <v>22589.75178585</v>
      </c>
      <c r="AW137" s="1" t="n">
        <f aca="false">-PV(Assumptions!$B$2,AH137,T137+AI137)</f>
        <v>5318.41766002654</v>
      </c>
      <c r="AX137" s="1" t="n">
        <f aca="false">(-PV(Assumptions!$B$2,C137,S137))-(-PV(Assumptions!$B$2,AH137,S137))</f>
        <v>4175.71854126704</v>
      </c>
      <c r="AY137" s="1" t="n">
        <f aca="false">AJ137+AW137+AX137+(-PV(Assumptions!$B$2,C137,R137))+X137-(W137/POWER(1+Assumptions!$B$2,C137))</f>
        <v>21092.2044506155</v>
      </c>
      <c r="AZ137" s="1" t="n">
        <f aca="false">AY137+AV137+(AU137/POWER(1+Assumptions!$B$2,C137))</f>
        <v>43681.9562364655</v>
      </c>
      <c r="BA137" s="0" t="n">
        <f aca="false">AQ137/POWER(1+Assumptions!$B$2,AH137)</f>
        <v>21831.6006661782</v>
      </c>
      <c r="BB137" s="1" t="n">
        <f aca="false">AY137+BA137</f>
        <v>42923.8051167936</v>
      </c>
      <c r="BC137" s="1" t="n">
        <f aca="false">AJ137+Assumptions!$B$28/POWER(1+Assumptions!$B$2,AH137)+(-PV(Assumptions!$B$2,AH137,R137+T137+AI137))</f>
        <v>28689.6645544109</v>
      </c>
      <c r="BD137" s="1" t="n">
        <f aca="false">MIN(Z137,AG137,AZ137)</f>
        <v>43681.9562364655</v>
      </c>
      <c r="BE137" s="0" t="str">
        <f aca="false">IF(BD137=Z137,"Cash",IF(BD137=AG137,"Loan","Lease then buy out"))</f>
        <v>Lease then buy out</v>
      </c>
    </row>
    <row r="138" customFormat="false" ht="15" hidden="false" customHeight="false" outlineLevel="0" collapsed="false">
      <c r="A138" s="0" t="s">
        <v>48</v>
      </c>
      <c r="B138" s="0" t="s">
        <v>126</v>
      </c>
      <c r="C138" s="0" t="n">
        <v>6</v>
      </c>
      <c r="D138" s="0" t="n">
        <v>0</v>
      </c>
      <c r="E138" s="0" t="n">
        <v>30030</v>
      </c>
      <c r="F138" s="0" t="n">
        <v>4659</v>
      </c>
      <c r="G138" s="0" t="n">
        <v>359</v>
      </c>
      <c r="H138" s="0" t="n">
        <v>36</v>
      </c>
      <c r="I138" s="0" t="n">
        <v>23</v>
      </c>
      <c r="J138" s="0" t="n">
        <v>13061</v>
      </c>
      <c r="K138" s="0" t="s">
        <v>127</v>
      </c>
      <c r="L138" s="0" t="n">
        <v>90.1</v>
      </c>
      <c r="M138" s="0" t="n">
        <f aca="false">MAX(Assumptions!$B$33,Assumptions!$B$30-Assumptions!$B$31*(H138-36)-IF(D138=1,Assumptions!$B$32,0))</f>
        <v>0.57</v>
      </c>
      <c r="N138" s="0" t="n">
        <f aca="false">E138*M138</f>
        <v>17117.1</v>
      </c>
      <c r="O138" s="0" t="n">
        <f aca="false">1-POWER(J138/E138,0.1)</f>
        <v>0.0798850021982334</v>
      </c>
      <c r="P138" s="0" t="n">
        <f aca="false">E138*(1+Assumptions!$B$8)+Assumptions!$B$9</f>
        <v>31931.5</v>
      </c>
      <c r="Q138" s="0" t="n">
        <f aca="false">IF(D138=1,Assumptions!$B$14*33.7,Assumptions!$B$13)</f>
        <v>3.1</v>
      </c>
      <c r="R138" s="0" t="n">
        <f aca="false">(Assumptions!$B$10/I138)*Q138</f>
        <v>1347.82608695652</v>
      </c>
      <c r="S138" s="0" t="n">
        <f aca="false">Assumptions!$B$15+Assumptions!$B$17</f>
        <v>1750</v>
      </c>
      <c r="T138" s="0" t="n">
        <f aca="false">Assumptions!$B$15*(1+Assumptions!$B$16)+Assumptions!$B$17</f>
        <v>1942</v>
      </c>
      <c r="U138" s="0" t="n">
        <f aca="false">IF(OR(C138&gt;Assumptions!$B$11,Assumptions!$B$10*C138&gt;Assumptions!$B$12),1,0)</f>
        <v>0</v>
      </c>
      <c r="V138" s="0" t="n">
        <f aca="false">MAX(0.6,1-Assumptions!$B$22*MAX(0,(Assumptions!$B$10-10000)*C138)/10000)</f>
        <v>1</v>
      </c>
      <c r="W138" s="0" t="n">
        <f aca="false">IF(U138=1,Assumptions!$B$23,MAX(Assumptions!$B$23,E138*POWER(1-O138,C138)*V138))</f>
        <v>18222.5013280758</v>
      </c>
      <c r="X138" s="0" t="n">
        <f aca="true">SUMPRODUCT((ROW(INDIRECT("1:"&amp;C138))&gt;Assumptions!$B$20)*Assumptions!$B$18*POWER(Assumptions!$B$19,ROW(INDIRECT("1:"&amp;C138))-Assumptions!$B$20-1)*IF(ROW(INDIRECT("1:"&amp;C138))&gt;Assumptions!$B$11,Assumptions!$B$21,1)/POWER(1+Assumptions!$B$2,ROW(INDIRECT("1:"&amp;C138))))</f>
        <v>2475.151938064</v>
      </c>
      <c r="Y138" s="1" t="n">
        <f aca="false">-PV(Assumptions!$B$2,C138,R138+S138)+X138</f>
        <v>18350.7484255595</v>
      </c>
      <c r="Z138" s="1" t="n">
        <f aca="false">P138+Y138-(W138/POWER(1+Assumptions!$B$2,C138))</f>
        <v>36448.881376805</v>
      </c>
      <c r="AA138" s="0" t="n">
        <f aca="false">P138*Assumptions!$B$7</f>
        <v>3193.15</v>
      </c>
      <c r="AB138" s="0" t="n">
        <f aca="false">P138-AA138</f>
        <v>28738.35</v>
      </c>
      <c r="AC138" s="1" t="n">
        <f aca="false">PMT(Assumptions!$B$5,Assumptions!$B$6,-AB138)</f>
        <v>568.918195815231</v>
      </c>
      <c r="AD138" s="0" t="n">
        <f aca="false">C138*12</f>
        <v>72</v>
      </c>
      <c r="AE138" s="0" t="n">
        <f aca="false">MIN(Assumptions!$B$6,AD138)</f>
        <v>60</v>
      </c>
      <c r="AF138" s="0" t="n">
        <f aca="false">IF(AD138&gt;=Assumptions!$B$6,0,-PV(Assumptions!$B$5,Assumptions!$B$6-AD138,AC138))</f>
        <v>0</v>
      </c>
      <c r="AG138" s="1" t="n">
        <f aca="false">AA138+(-PV(Assumptions!$B$3,AE138,AC138))+Y138-((W138-AF138)/POWER(1+Assumptions!$B$2,C138))</f>
        <v>38078.5887157089</v>
      </c>
      <c r="AH138" s="0" t="n">
        <f aca="false">H138/12</f>
        <v>3</v>
      </c>
      <c r="AI138" s="0" t="n">
        <f aca="false">MAX(0,Assumptions!$B$10-Assumptions!$B$24)*Assumptions!$B$25</f>
        <v>0</v>
      </c>
      <c r="AJ138" s="1" t="n">
        <f aca="false">F138+Assumptions!$B$27+(-PV(Assumptions!$B$3,H138-1,G138))</f>
        <v>17079.4133621965</v>
      </c>
      <c r="AK138" s="0" t="n">
        <f aca="false">CEILING(C138/AH138,1)</f>
        <v>2</v>
      </c>
      <c r="AL138" s="0" t="n">
        <f aca="false">(1+Assumptions!$B$26)/POWER(1+Assumptions!$B$2,AH138)</f>
        <v>0.906135810905202</v>
      </c>
      <c r="AM138" s="0" t="n">
        <f aca="false">IF(ABS(1-AL138)&lt;0.000000000001,AK138,(1-POWER(AL138,AK138))/(1-AL138))</f>
        <v>1.9061358109052</v>
      </c>
      <c r="AN138" s="0" t="n">
        <f aca="false">1/POWER(1+Assumptions!$B$2,AH138)</f>
        <v>0.871284433562695</v>
      </c>
      <c r="AO138" s="0" t="n">
        <f aca="false">IF(ABS(1-AN138)&lt;0.000000000001,AK138,AN138*(1-POWER(AN138,AK138))/(1-AN138))</f>
        <v>1.63042099773136</v>
      </c>
      <c r="AP138" s="1" t="n">
        <f aca="false">AJ138*AM138+Assumptions!$B$28*AO138+(-PV(Assumptions!$B$2,C138,R138+T138+AI138))</f>
        <v>50067.3990846644</v>
      </c>
      <c r="AQ138" s="0" t="n">
        <f aca="false">N138*(1+Assumptions!$B$8)</f>
        <v>17972.955</v>
      </c>
      <c r="AR138" s="1" t="n">
        <f aca="false">PMT(Assumptions!$B$5,Assumptions!$B$29,-AQ138)</f>
        <v>554.870501010848</v>
      </c>
      <c r="AS138" s="0" t="n">
        <f aca="false">MAX(0,AD138-H138)</f>
        <v>36</v>
      </c>
      <c r="AT138" s="0" t="n">
        <f aca="false">MIN(Assumptions!$B$29,AS138)</f>
        <v>36</v>
      </c>
      <c r="AU138" s="0" t="n">
        <f aca="false">IF(AS138&gt;=Assumptions!$B$29,0,-PV(Assumptions!$B$5,Assumptions!$B$29-AS138,AR138))</f>
        <v>0</v>
      </c>
      <c r="AV138" s="1" t="n">
        <f aca="false">(-PV(Assumptions!$B$3,AT138,AR138))/POWER(1+Assumptions!$B$2,AH138)</f>
        <v>16203.3689898503</v>
      </c>
      <c r="AW138" s="1" t="n">
        <f aca="false">-PV(Assumptions!$B$2,AH138,T138+AI138)</f>
        <v>5318.41766002654</v>
      </c>
      <c r="AX138" s="1" t="n">
        <f aca="false">(-PV(Assumptions!$B$2,C138,S138))-(-PV(Assumptions!$B$2,AH138,S138))</f>
        <v>4175.71854126704</v>
      </c>
      <c r="AY138" s="1" t="n">
        <f aca="false">AJ138+AW138+AX138+(-PV(Assumptions!$B$2,C138,R138))+X138-(W138/POWER(1+Assumptions!$B$2,C138))</f>
        <v>22122.6115210434</v>
      </c>
      <c r="AZ138" s="1" t="n">
        <f aca="false">AY138+AV138+(AU138/POWER(1+Assumptions!$B$2,C138))</f>
        <v>38325.9805108937</v>
      </c>
      <c r="BA138" s="0" t="n">
        <f aca="false">AQ138/POWER(1+Assumptions!$B$2,AH138)</f>
        <v>15659.5559166228</v>
      </c>
      <c r="BB138" s="1" t="n">
        <f aca="false">AY138+BA138</f>
        <v>37782.1674376662</v>
      </c>
      <c r="BC138" s="1" t="n">
        <f aca="false">AJ138+Assumptions!$B$28/POWER(1+Assumptions!$B$2,AH138)+(-PV(Assumptions!$B$2,AH138,R138+T138+AI138))</f>
        <v>26437.5405029159</v>
      </c>
      <c r="BD138" s="1" t="n">
        <f aca="false">MIN(Z138,AG138,AZ138)</f>
        <v>36448.881376805</v>
      </c>
      <c r="BE138" s="0" t="str">
        <f aca="false">IF(BD138=Z138,"Cash",IF(BD138=AG138,"Loan","Lease then buy out"))</f>
        <v>Cash</v>
      </c>
    </row>
    <row r="139" customFormat="false" ht="15" hidden="false" customHeight="false" outlineLevel="0" collapsed="false">
      <c r="A139" s="0" t="s">
        <v>58</v>
      </c>
      <c r="B139" s="0" t="s">
        <v>128</v>
      </c>
      <c r="C139" s="0" t="n">
        <v>6</v>
      </c>
      <c r="D139" s="0" t="n">
        <v>0</v>
      </c>
      <c r="E139" s="0" t="n">
        <v>23500</v>
      </c>
      <c r="F139" s="0" t="n">
        <v>3269</v>
      </c>
      <c r="G139" s="0" t="n">
        <v>269</v>
      </c>
      <c r="H139" s="0" t="n">
        <v>39</v>
      </c>
      <c r="I139" s="0" t="n">
        <v>33</v>
      </c>
      <c r="J139" s="0" t="n">
        <v>10204</v>
      </c>
      <c r="K139" s="0" t="s">
        <v>99</v>
      </c>
      <c r="L139" s="0" t="n">
        <v>110.4</v>
      </c>
      <c r="M139" s="0" t="n">
        <f aca="false">MAX(Assumptions!$B$33,Assumptions!$B$30-Assumptions!$B$31*(H139-36)-IF(D139=1,Assumptions!$B$32,0))</f>
        <v>0.555</v>
      </c>
      <c r="N139" s="0" t="n">
        <f aca="false">E139*M139</f>
        <v>13042.5</v>
      </c>
      <c r="O139" s="0" t="n">
        <f aca="false">1-POWER(J139/E139,0.1)</f>
        <v>0.0800372161434033</v>
      </c>
      <c r="P139" s="0" t="n">
        <f aca="false">E139*(1+Assumptions!$B$8)+Assumptions!$B$9</f>
        <v>25075</v>
      </c>
      <c r="Q139" s="0" t="n">
        <f aca="false">IF(D139=1,Assumptions!$B$14*33.7,Assumptions!$B$13)</f>
        <v>3.1</v>
      </c>
      <c r="R139" s="0" t="n">
        <f aca="false">(Assumptions!$B$10/I139)*Q139</f>
        <v>939.393939393939</v>
      </c>
      <c r="S139" s="0" t="n">
        <f aca="false">Assumptions!$B$15+Assumptions!$B$17</f>
        <v>1750</v>
      </c>
      <c r="T139" s="0" t="n">
        <f aca="false">Assumptions!$B$15*(1+Assumptions!$B$16)+Assumptions!$B$17</f>
        <v>1942</v>
      </c>
      <c r="U139" s="0" t="n">
        <f aca="false">IF(OR(C139&gt;Assumptions!$B$11,Assumptions!$B$10*C139&gt;Assumptions!$B$12),1,0)</f>
        <v>0</v>
      </c>
      <c r="V139" s="0" t="n">
        <f aca="false">MAX(0.6,1-Assumptions!$B$22*MAX(0,(Assumptions!$B$10-10000)*C139)/10000)</f>
        <v>1</v>
      </c>
      <c r="W139" s="0" t="n">
        <f aca="false">IF(U139=1,Assumptions!$B$23,MAX(Assumptions!$B$23,E139*POWER(1-O139,C139)*V139))</f>
        <v>14245.8843667076</v>
      </c>
      <c r="X139" s="0" t="n">
        <f aca="true">SUMPRODUCT((ROW(INDIRECT("1:"&amp;C139))&gt;Assumptions!$B$20)*Assumptions!$B$18*POWER(Assumptions!$B$19,ROW(INDIRECT("1:"&amp;C139))-Assumptions!$B$20-1)*IF(ROW(INDIRECT("1:"&amp;C139))&gt;Assumptions!$B$11,Assumptions!$B$21,1)/POWER(1+Assumptions!$B$2,ROW(INDIRECT("1:"&amp;C139))))</f>
        <v>2475.151938064</v>
      </c>
      <c r="Y139" s="1" t="n">
        <f aca="false">-PV(Assumptions!$B$2,C139,R139+S139)+X139</f>
        <v>16257.6341624553</v>
      </c>
      <c r="Z139" s="1" t="n">
        <f aca="false">P139+Y139-(W139/POWER(1+Assumptions!$B$2,C139))</f>
        <v>30518.0624507688</v>
      </c>
      <c r="AA139" s="0" t="n">
        <f aca="false">P139*Assumptions!$B$7</f>
        <v>2507.5</v>
      </c>
      <c r="AB139" s="0" t="n">
        <f aca="false">P139-AA139</f>
        <v>22567.5</v>
      </c>
      <c r="AC139" s="1" t="n">
        <f aca="false">PMT(Assumptions!$B$5,Assumptions!$B$6,-AB139)</f>
        <v>446.757081880492</v>
      </c>
      <c r="AD139" s="0" t="n">
        <f aca="false">C139*12</f>
        <v>72</v>
      </c>
      <c r="AE139" s="0" t="n">
        <f aca="false">MIN(Assumptions!$B$6,AD139)</f>
        <v>60</v>
      </c>
      <c r="AF139" s="0" t="n">
        <f aca="false">IF(AD139&gt;=Assumptions!$B$6,0,-PV(Assumptions!$B$5,Assumptions!$B$6-AD139,AC139))</f>
        <v>0</v>
      </c>
      <c r="AG139" s="1" t="n">
        <f aca="false">AA139+(-PV(Assumptions!$B$3,AE139,AC139))+Y139-((W139-AF139)/POWER(1+Assumptions!$B$2,C139))</f>
        <v>31797.8304392133</v>
      </c>
      <c r="AH139" s="0" t="n">
        <f aca="false">H139/12</f>
        <v>3.25</v>
      </c>
      <c r="AI139" s="0" t="n">
        <f aca="false">MAX(0,Assumptions!$B$10-Assumptions!$B$24)*Assumptions!$B$25</f>
        <v>0</v>
      </c>
      <c r="AJ139" s="1" t="n">
        <f aca="false">F139+Assumptions!$B$27+(-PV(Assumptions!$B$3,H139-1,G139))</f>
        <v>13449.4805349235</v>
      </c>
      <c r="AK139" s="0" t="n">
        <f aca="false">CEILING(C139/AH139,1)</f>
        <v>2</v>
      </c>
      <c r="AL139" s="0" t="n">
        <f aca="false">(1+Assumptions!$B$26)/POWER(1+Assumptions!$B$2,AH139)</f>
        <v>0.895790853682276</v>
      </c>
      <c r="AM139" s="0" t="n">
        <f aca="false">IF(ABS(1-AL139)&lt;0.000000000001,AK139,(1-POWER(AL139,AK139))/(1-AL139))</f>
        <v>1.89579085368228</v>
      </c>
      <c r="AN139" s="0" t="n">
        <f aca="false">1/POWER(1+Assumptions!$B$2,AH139)</f>
        <v>0.861337359309881</v>
      </c>
      <c r="AO139" s="0" t="n">
        <f aca="false">IF(ABS(1-AN139)&lt;0.000000000001,AK139,AN139*(1-POWER(AN139,AK139))/(1-AN139))</f>
        <v>1.6032394058528</v>
      </c>
      <c r="AP139" s="1" t="n">
        <f aca="false">AJ139*AM139+Assumptions!$B$28*AO139+(-PV(Assumptions!$B$2,C139,R139+T139+AI139))</f>
        <v>40905.132930759</v>
      </c>
      <c r="AQ139" s="0" t="n">
        <f aca="false">N139*(1+Assumptions!$B$8)</f>
        <v>13694.625</v>
      </c>
      <c r="AR139" s="1" t="n">
        <f aca="false">PMT(Assumptions!$B$5,Assumptions!$B$29,-AQ139)</f>
        <v>422.78765149669</v>
      </c>
      <c r="AS139" s="0" t="n">
        <f aca="false">MAX(0,AD139-H139)</f>
        <v>33</v>
      </c>
      <c r="AT139" s="0" t="n">
        <f aca="false">MIN(Assumptions!$B$29,AS139)</f>
        <v>33</v>
      </c>
      <c r="AU139" s="1" t="n">
        <f aca="false">IF(AS139&gt;=Assumptions!$B$29,0,-PV(Assumptions!$B$5,Assumptions!$B$29-AS139,AR139))</f>
        <v>1253.72873727215</v>
      </c>
      <c r="AV139" s="1" t="n">
        <f aca="false">(-PV(Assumptions!$B$3,AT139,AR139))/POWER(1+Assumptions!$B$2,AH139)</f>
        <v>11252.5259943939</v>
      </c>
      <c r="AW139" s="1" t="n">
        <f aca="false">-PV(Assumptions!$B$2,AH139,T139+AI139)</f>
        <v>5729.42230255769</v>
      </c>
      <c r="AX139" s="1" t="n">
        <f aca="false">(-PV(Assumptions!$B$2,C139,S139))-(-PV(Assumptions!$B$2,AH139,S139))</f>
        <v>3805.34875525802</v>
      </c>
      <c r="AY139" s="1" t="n">
        <f aca="false">AJ139+AW139+AX139+(-PV(Assumptions!$B$2,C139,R139))+X139-(W139/POWER(1+Assumptions!$B$2,C139))</f>
        <v>19458.9946242562</v>
      </c>
      <c r="AZ139" s="1" t="n">
        <f aca="false">AY139+AV139+(AU139/POWER(1+Assumptions!$B$2,C139))</f>
        <v>31663.2719446623</v>
      </c>
      <c r="BA139" s="0" t="n">
        <f aca="false">AQ139/POWER(1+Assumptions!$B$2,AH139)</f>
        <v>11795.6921342391</v>
      </c>
      <c r="BB139" s="1" t="n">
        <f aca="false">AY139+BA139</f>
        <v>31254.6867584953</v>
      </c>
      <c r="BC139" s="1" t="n">
        <f aca="false">AJ139+Assumptions!$B$28/POWER(1+Assumptions!$B$2,AH139)+(-PV(Assumptions!$B$2,AH139,R139+T139+AI139))</f>
        <v>22294.9025532191</v>
      </c>
      <c r="BD139" s="1" t="n">
        <f aca="false">MIN(Z139,AG139,AZ139)</f>
        <v>30518.0624507688</v>
      </c>
      <c r="BE139" s="0" t="str">
        <f aca="false">IF(BD139=Z139,"Cash",IF(BD139=AG139,"Loan","Lease then buy out"))</f>
        <v>Cash</v>
      </c>
    </row>
    <row r="140" customFormat="false" ht="15" hidden="false" customHeight="false" outlineLevel="0" collapsed="false">
      <c r="A140" s="0" t="s">
        <v>55</v>
      </c>
      <c r="B140" s="0" t="s">
        <v>129</v>
      </c>
      <c r="C140" s="0" t="n">
        <v>6</v>
      </c>
      <c r="D140" s="0" t="n">
        <v>0</v>
      </c>
      <c r="E140" s="0" t="n">
        <v>37100</v>
      </c>
      <c r="F140" s="0" t="n">
        <v>4409</v>
      </c>
      <c r="G140" s="0" t="n">
        <v>499</v>
      </c>
      <c r="H140" s="0" t="n">
        <v>36</v>
      </c>
      <c r="I140" s="0" t="n">
        <v>20</v>
      </c>
      <c r="J140" s="0" t="n">
        <v>16255</v>
      </c>
      <c r="K140" s="0" t="s">
        <v>99</v>
      </c>
      <c r="L140" s="0" t="n">
        <v>90.1</v>
      </c>
      <c r="M140" s="0" t="n">
        <f aca="false">MAX(Assumptions!$B$33,Assumptions!$B$30-Assumptions!$B$31*(H140-36)-IF(D140=1,Assumptions!$B$32,0))</f>
        <v>0.57</v>
      </c>
      <c r="N140" s="0" t="n">
        <f aca="false">E140*M140</f>
        <v>21147</v>
      </c>
      <c r="O140" s="0" t="n">
        <f aca="false">1-POWER(J140/E140,0.1)</f>
        <v>0.079208489747256</v>
      </c>
      <c r="P140" s="0" t="n">
        <f aca="false">E140*(1+Assumptions!$B$8)+Assumptions!$B$9</f>
        <v>39355</v>
      </c>
      <c r="Q140" s="0" t="n">
        <f aca="false">IF(D140=1,Assumptions!$B$14*33.7,Assumptions!$B$13)</f>
        <v>3.1</v>
      </c>
      <c r="R140" s="0" t="n">
        <f aca="false">(Assumptions!$B$10/I140)*Q140</f>
        <v>1550</v>
      </c>
      <c r="S140" s="0" t="n">
        <f aca="false">Assumptions!$B$15+Assumptions!$B$17</f>
        <v>1750</v>
      </c>
      <c r="T140" s="0" t="n">
        <f aca="false">Assumptions!$B$15*(1+Assumptions!$B$16)+Assumptions!$B$17</f>
        <v>1942</v>
      </c>
      <c r="U140" s="0" t="n">
        <f aca="false">IF(OR(C140&gt;Assumptions!$B$11,Assumptions!$B$10*C140&gt;Assumptions!$B$12),1,0)</f>
        <v>0</v>
      </c>
      <c r="V140" s="0" t="n">
        <f aca="false">MAX(0.6,1-Assumptions!$B$22*MAX(0,(Assumptions!$B$10-10000)*C140)/10000)</f>
        <v>1</v>
      </c>
      <c r="W140" s="0" t="n">
        <f aca="false">IF(U140=1,Assumptions!$B$23,MAX(Assumptions!$B$23,E140*POWER(1-O140,C140)*V140))</f>
        <v>22612.1442940956</v>
      </c>
      <c r="X140" s="0" t="n">
        <f aca="true">SUMPRODUCT((ROW(INDIRECT("1:"&amp;C140))&gt;Assumptions!$B$20)*Assumptions!$B$18*POWER(Assumptions!$B$19,ROW(INDIRECT("1:"&amp;C140))-Assumptions!$B$20-1)*IF(ROW(INDIRECT("1:"&amp;C140))&gt;Assumptions!$B$11,Assumptions!$B$21,1)/POWER(1+Assumptions!$B$2,ROW(INDIRECT("1:"&amp;C140))))</f>
        <v>2475.151938064</v>
      </c>
      <c r="Y140" s="1" t="n">
        <f aca="false">-PV(Assumptions!$B$2,C140,R140+S140)+X140</f>
        <v>19386.839985796</v>
      </c>
      <c r="Z140" s="1" t="n">
        <f aca="false">P140+Y140-(W140/POWER(1+Assumptions!$B$2,C140))</f>
        <v>41576.1344578901</v>
      </c>
      <c r="AA140" s="0" t="n">
        <f aca="false">P140*Assumptions!$B$7</f>
        <v>3935.5</v>
      </c>
      <c r="AB140" s="0" t="n">
        <f aca="false">P140-AA140</f>
        <v>35419.5</v>
      </c>
      <c r="AC140" s="1" t="n">
        <f aca="false">PMT(Assumptions!$B$5,Assumptions!$B$6,-AB140)</f>
        <v>701.181453934466</v>
      </c>
      <c r="AD140" s="0" t="n">
        <f aca="false">C140*12</f>
        <v>72</v>
      </c>
      <c r="AE140" s="0" t="n">
        <f aca="false">MIN(Assumptions!$B$6,AD140)</f>
        <v>60</v>
      </c>
      <c r="AF140" s="0" t="n">
        <f aca="false">IF(AD140&gt;=Assumptions!$B$6,0,-PV(Assumptions!$B$5,Assumptions!$B$6-AD140,AC140))</f>
        <v>0</v>
      </c>
      <c r="AG140" s="1" t="n">
        <f aca="false">AA140+(-PV(Assumptions!$B$3,AE140,AC140))+Y140-((W140-AF140)/POWER(1+Assumptions!$B$2,C140))</f>
        <v>43584.7194702623</v>
      </c>
      <c r="AH140" s="0" t="n">
        <f aca="false">H140/12</f>
        <v>3</v>
      </c>
      <c r="AI140" s="0" t="n">
        <f aca="false">MAX(0,Assumptions!$B$10-Assumptions!$B$24)*Assumptions!$B$25</f>
        <v>0</v>
      </c>
      <c r="AJ140" s="1" t="n">
        <f aca="false">F140+Assumptions!$B$27+(-PV(Assumptions!$B$3,H140-1,G140))</f>
        <v>21400.0480995434</v>
      </c>
      <c r="AK140" s="0" t="n">
        <f aca="false">CEILING(C140/AH140,1)</f>
        <v>2</v>
      </c>
      <c r="AL140" s="0" t="n">
        <f aca="false">(1+Assumptions!$B$26)/POWER(1+Assumptions!$B$2,AH140)</f>
        <v>0.906135810905202</v>
      </c>
      <c r="AM140" s="0" t="n">
        <f aca="false">IF(ABS(1-AL140)&lt;0.000000000001,AK140,(1-POWER(AL140,AK140))/(1-AL140))</f>
        <v>1.9061358109052</v>
      </c>
      <c r="AN140" s="0" t="n">
        <f aca="false">1/POWER(1+Assumptions!$B$2,AH140)</f>
        <v>0.871284433562695</v>
      </c>
      <c r="AO140" s="0" t="n">
        <f aca="false">IF(ABS(1-AN140)&lt;0.000000000001,AK140,AN140*(1-POWER(AN140,AK140))/(1-AN140))</f>
        <v>1.63042099773136</v>
      </c>
      <c r="AP140" s="1" t="n">
        <f aca="false">AJ140*AM140+Assumptions!$B$28*AO140+(-PV(Assumptions!$B$2,C140,R140+T140+AI140))</f>
        <v>59339.2072435988</v>
      </c>
      <c r="AQ140" s="0" t="n">
        <f aca="false">N140*(1+Assumptions!$B$8)</f>
        <v>22204.35</v>
      </c>
      <c r="AR140" s="1" t="n">
        <f aca="false">PMT(Assumptions!$B$5,Assumptions!$B$29,-AQ140)</f>
        <v>685.504348568181</v>
      </c>
      <c r="AS140" s="0" t="n">
        <f aca="false">MAX(0,AD140-H140)</f>
        <v>36</v>
      </c>
      <c r="AT140" s="0" t="n">
        <f aca="false">MIN(Assumptions!$B$29,AS140)</f>
        <v>36</v>
      </c>
      <c r="AU140" s="0" t="n">
        <f aca="false">IF(AS140&gt;=Assumptions!$B$29,0,-PV(Assumptions!$B$5,Assumptions!$B$29-AS140,AR140))</f>
        <v>0</v>
      </c>
      <c r="AV140" s="1" t="n">
        <f aca="false">(-PV(Assumptions!$B$3,AT140,AR140))/POWER(1+Assumptions!$B$2,AH140)</f>
        <v>20018.148169279</v>
      </c>
      <c r="AW140" s="1" t="n">
        <f aca="false">-PV(Assumptions!$B$2,AH140,T140+AI140)</f>
        <v>5318.41766002654</v>
      </c>
      <c r="AX140" s="1" t="n">
        <f aca="false">(-PV(Assumptions!$B$2,C140,S140))-(-PV(Assumptions!$B$2,AH140,S140))</f>
        <v>4175.71854126704</v>
      </c>
      <c r="AY140" s="1" t="n">
        <f aca="false">AJ140+AW140+AX140+(-PV(Assumptions!$B$2,C140,R140))+X140-(W140/POWER(1+Assumptions!$B$2,C140))</f>
        <v>24146.9993394753</v>
      </c>
      <c r="AZ140" s="1" t="n">
        <f aca="false">AY140+AV140+(AU140/POWER(1+Assumptions!$B$2,C140))</f>
        <v>44165.1475087543</v>
      </c>
      <c r="BA140" s="0" t="n">
        <f aca="false">AQ140/POWER(1+Assumptions!$B$2,AH140)</f>
        <v>19346.3045123778</v>
      </c>
      <c r="BB140" s="1" t="n">
        <f aca="false">AY140+BA140</f>
        <v>43493.3038518531</v>
      </c>
      <c r="BC140" s="1" t="n">
        <f aca="false">AJ140+Assumptions!$B$28/POWER(1+Assumptions!$B$2,AH140)+(-PV(Assumptions!$B$2,AH140,R140+T140+AI140))</f>
        <v>31311.854596353</v>
      </c>
      <c r="BD140" s="1" t="n">
        <f aca="false">MIN(Z140,AG140,AZ140)</f>
        <v>41576.1344578901</v>
      </c>
      <c r="BE140" s="0" t="str">
        <f aca="false">IF(BD140=Z140,"Cash",IF(BD140=AG140,"Loan","Lease then buy out"))</f>
        <v>Cash</v>
      </c>
    </row>
    <row r="141" customFormat="false" ht="15" hidden="false" customHeight="false" outlineLevel="0" collapsed="false">
      <c r="A141" s="0" t="s">
        <v>41</v>
      </c>
      <c r="B141" s="0" t="s">
        <v>130</v>
      </c>
      <c r="C141" s="0" t="n">
        <v>6</v>
      </c>
      <c r="D141" s="0" t="n">
        <v>0</v>
      </c>
      <c r="E141" s="0" t="n">
        <v>40457</v>
      </c>
      <c r="F141" s="0" t="n">
        <v>2920</v>
      </c>
      <c r="G141" s="0" t="n">
        <v>420</v>
      </c>
      <c r="H141" s="0" t="n">
        <v>36</v>
      </c>
      <c r="I141" s="0" t="n">
        <v>22</v>
      </c>
      <c r="J141" s="0" t="n">
        <v>12016</v>
      </c>
      <c r="K141" s="0" t="s">
        <v>99</v>
      </c>
      <c r="L141" s="0" t="n">
        <v>183.8</v>
      </c>
      <c r="M141" s="0" t="n">
        <f aca="false">MAX(Assumptions!$B$33,Assumptions!$B$30-Assumptions!$B$31*(H141-36)-IF(D141=1,Assumptions!$B$32,0))</f>
        <v>0.57</v>
      </c>
      <c r="N141" s="0" t="n">
        <f aca="false">E141*M141</f>
        <v>23060.49</v>
      </c>
      <c r="O141" s="0" t="n">
        <f aca="false">1-POWER(J141/E141,0.1)</f>
        <v>0.114320435077221</v>
      </c>
      <c r="P141" s="0" t="n">
        <f aca="false">E141*(1+Assumptions!$B$8)+Assumptions!$B$9</f>
        <v>42879.85</v>
      </c>
      <c r="Q141" s="0" t="n">
        <f aca="false">IF(D141=1,Assumptions!$B$14*33.7,Assumptions!$B$13)</f>
        <v>3.1</v>
      </c>
      <c r="R141" s="0" t="n">
        <f aca="false">(Assumptions!$B$10/I141)*Q141</f>
        <v>1409.09090909091</v>
      </c>
      <c r="S141" s="0" t="n">
        <f aca="false">Assumptions!$B$15+Assumptions!$B$17</f>
        <v>1750</v>
      </c>
      <c r="T141" s="0" t="n">
        <f aca="false">Assumptions!$B$15*(1+Assumptions!$B$16)+Assumptions!$B$17</f>
        <v>1942</v>
      </c>
      <c r="U141" s="0" t="n">
        <f aca="false">IF(OR(C141&gt;Assumptions!$B$11,Assumptions!$B$10*C141&gt;Assumptions!$B$12),1,0)</f>
        <v>0</v>
      </c>
      <c r="V141" s="0" t="n">
        <f aca="false">MAX(0.6,1-Assumptions!$B$22*MAX(0,(Assumptions!$B$10-10000)*C141)/10000)</f>
        <v>1</v>
      </c>
      <c r="W141" s="0" t="n">
        <f aca="false">IF(U141=1,Assumptions!$B$23,MAX(Assumptions!$B$23,E141*POWER(1-O141,C141)*V141))</f>
        <v>19527.8046545084</v>
      </c>
      <c r="X141" s="0" t="n">
        <f aca="true">SUMPRODUCT((ROW(INDIRECT("1:"&amp;C141))&gt;Assumptions!$B$20)*Assumptions!$B$18*POWER(Assumptions!$B$19,ROW(INDIRECT("1:"&amp;C141))-Assumptions!$B$20-1)*IF(ROW(INDIRECT("1:"&amp;C141))&gt;Assumptions!$B$11,Assumptions!$B$21,1)/POWER(1+Assumptions!$B$2,ROW(INDIRECT("1:"&amp;C141))))</f>
        <v>2475.151938064</v>
      </c>
      <c r="Y141" s="1" t="n">
        <f aca="false">-PV(Assumptions!$B$2,C141,R141+S141)+X141</f>
        <v>18664.7155650251</v>
      </c>
      <c r="Z141" s="1" t="n">
        <f aca="false">P141+Y141-(W141/POWER(1+Assumptions!$B$2,C141))</f>
        <v>46720.2950338447</v>
      </c>
      <c r="AA141" s="0" t="n">
        <f aca="false">P141*Assumptions!$B$7</f>
        <v>4287.985</v>
      </c>
      <c r="AB141" s="0" t="n">
        <f aca="false">P141-AA141</f>
        <v>38591.865</v>
      </c>
      <c r="AC141" s="1" t="n">
        <f aca="false">PMT(Assumptions!$B$5,Assumptions!$B$6,-AB141)</f>
        <v>763.983116948084</v>
      </c>
      <c r="AD141" s="0" t="n">
        <f aca="false">C141*12</f>
        <v>72</v>
      </c>
      <c r="AE141" s="0" t="n">
        <f aca="false">MIN(Assumptions!$B$6,AD141)</f>
        <v>60</v>
      </c>
      <c r="AF141" s="0" t="n">
        <f aca="false">IF(AD141&gt;=Assumptions!$B$6,0,-PV(Assumptions!$B$5,Assumptions!$B$6-AD141,AC141))</f>
        <v>0</v>
      </c>
      <c r="AG141" s="1" t="n">
        <f aca="false">AA141+(-PV(Assumptions!$B$3,AE141,AC141))+Y141-((W141-AF141)/POWER(1+Assumptions!$B$2,C141))</f>
        <v>48908.7799542555</v>
      </c>
      <c r="AH141" s="0" t="n">
        <f aca="false">H141/12</f>
        <v>3</v>
      </c>
      <c r="AI141" s="0" t="n">
        <f aca="false">MAX(0,Assumptions!$B$10-Assumptions!$B$24)*Assumptions!$B$25</f>
        <v>0</v>
      </c>
      <c r="AJ141" s="1" t="n">
        <f aca="false">F141+Assumptions!$B$27+(-PV(Assumptions!$B$3,H141-1,G141))</f>
        <v>17331.9042120405</v>
      </c>
      <c r="AK141" s="0" t="n">
        <f aca="false">CEILING(C141/AH141,1)</f>
        <v>2</v>
      </c>
      <c r="AL141" s="0" t="n">
        <f aca="false">(1+Assumptions!$B$26)/POWER(1+Assumptions!$B$2,AH141)</f>
        <v>0.906135810905202</v>
      </c>
      <c r="AM141" s="0" t="n">
        <f aca="false">IF(ABS(1-AL141)&lt;0.000000000001,AK141,(1-POWER(AL141,AK141))/(1-AL141))</f>
        <v>1.9061358109052</v>
      </c>
      <c r="AN141" s="0" t="n">
        <f aca="false">1/POWER(1+Assumptions!$B$2,AH141)</f>
        <v>0.871284433562695</v>
      </c>
      <c r="AO141" s="0" t="n">
        <f aca="false">IF(ABS(1-AN141)&lt;0.000000000001,AK141,AN141*(1-POWER(AN141,AK141))/(1-AN141))</f>
        <v>1.63042099773136</v>
      </c>
      <c r="AP141" s="1" t="n">
        <f aca="false">AJ141*AM141+Assumptions!$B$28*AO141+(-PV(Assumptions!$B$2,C141,R141+T141+AI141))</f>
        <v>50862.6480749436</v>
      </c>
      <c r="AQ141" s="0" t="n">
        <f aca="false">N141*(1+Assumptions!$B$8)</f>
        <v>24213.5145</v>
      </c>
      <c r="AR141" s="1" t="n">
        <f aca="false">PMT(Assumptions!$B$5,Assumptions!$B$29,-AQ141)</f>
        <v>747.532329650213</v>
      </c>
      <c r="AS141" s="0" t="n">
        <f aca="false">MAX(0,AD141-H141)</f>
        <v>36</v>
      </c>
      <c r="AT141" s="0" t="n">
        <f aca="false">MIN(Assumptions!$B$29,AS141)</f>
        <v>36</v>
      </c>
      <c r="AU141" s="0" t="n">
        <f aca="false">IF(AS141&gt;=Assumptions!$B$29,0,-PV(Assumptions!$B$5,Assumptions!$B$29-AS141,AR141))</f>
        <v>0</v>
      </c>
      <c r="AV141" s="1" t="n">
        <f aca="false">(-PV(Assumptions!$B$3,AT141,AR141))/POWER(1+Assumptions!$B$2,AH141)</f>
        <v>21829.4938135989</v>
      </c>
      <c r="AW141" s="1" t="n">
        <f aca="false">-PV(Assumptions!$B$2,AH141,T141+AI141)</f>
        <v>5318.41766002654</v>
      </c>
      <c r="AX141" s="1" t="n">
        <f aca="false">(-PV(Assumptions!$B$2,C141,S141))-(-PV(Assumptions!$B$2,AH141,S141))</f>
        <v>4175.71854126704</v>
      </c>
      <c r="AY141" s="1" t="n">
        <f aca="false">AJ141+AW141+AX141+(-PV(Assumptions!$B$2,C141,R141))+X141-(W141/POWER(1+Assumptions!$B$2,C141))</f>
        <v>21698.166027927</v>
      </c>
      <c r="AZ141" s="1" t="n">
        <f aca="false">AY141+AV141+(AU141/POWER(1+Assumptions!$B$2,C141))</f>
        <v>43527.6598415259</v>
      </c>
      <c r="BA141" s="0" t="n">
        <f aca="false">AQ141/POWER(1+Assumptions!$B$2,AH141)</f>
        <v>21096.8582656946</v>
      </c>
      <c r="BB141" s="1" t="n">
        <f aca="false">AY141+BA141</f>
        <v>42795.0242936216</v>
      </c>
      <c r="BC141" s="1" t="n">
        <f aca="false">AJ141+Assumptions!$B$28/POWER(1+Assumptions!$B$2,AH141)+(-PV(Assumptions!$B$2,AH141,R141+T141+AI141))</f>
        <v>26857.8129758176</v>
      </c>
      <c r="BD141" s="1" t="n">
        <f aca="false">MIN(Z141,AG141,AZ141)</f>
        <v>43527.6598415259</v>
      </c>
      <c r="BE141" s="0" t="str">
        <f aca="false">IF(BD141=Z141,"Cash",IF(BD141=AG141,"Loan","Lease then buy out"))</f>
        <v>Lease then buy out</v>
      </c>
    </row>
    <row r="142" customFormat="false" ht="15" hidden="false" customHeight="false" outlineLevel="0" collapsed="false">
      <c r="A142" s="0" t="s">
        <v>51</v>
      </c>
      <c r="B142" s="0" t="s">
        <v>131</v>
      </c>
      <c r="C142" s="0" t="n">
        <v>6</v>
      </c>
      <c r="D142" s="0" t="n">
        <v>1</v>
      </c>
      <c r="E142" s="0" t="n">
        <v>32180</v>
      </c>
      <c r="F142" s="0" t="n">
        <v>2983</v>
      </c>
      <c r="G142" s="0" t="n">
        <v>483</v>
      </c>
      <c r="H142" s="0" t="n">
        <v>36</v>
      </c>
      <c r="I142" s="0" t="n">
        <v>120</v>
      </c>
      <c r="J142" s="0" t="n">
        <v>6700</v>
      </c>
      <c r="K142" s="0" t="s">
        <v>99</v>
      </c>
      <c r="L142" s="0" t="n">
        <v>148.9</v>
      </c>
      <c r="M142" s="0" t="n">
        <f aca="false">MAX(Assumptions!$B$33,Assumptions!$B$30-Assumptions!$B$31*(H142-36)-IF(D142=1,Assumptions!$B$32,0))</f>
        <v>0.49</v>
      </c>
      <c r="N142" s="0" t="n">
        <f aca="false">E142*M142</f>
        <v>15768.2</v>
      </c>
      <c r="O142" s="0" t="n">
        <f aca="false">1-POWER(J142/E142,0.1)</f>
        <v>0.145230777357263</v>
      </c>
      <c r="P142" s="0" t="n">
        <f aca="false">E142*(1+Assumptions!$B$8)+Assumptions!$B$9</f>
        <v>34189</v>
      </c>
      <c r="Q142" s="0" t="n">
        <f aca="false">IF(D142=1,Assumptions!$B$14*33.7,Assumptions!$B$13)</f>
        <v>5.729</v>
      </c>
      <c r="R142" s="0" t="n">
        <f aca="false">(Assumptions!$B$10/I142)*Q142</f>
        <v>477.416666666667</v>
      </c>
      <c r="S142" s="0" t="n">
        <f aca="false">Assumptions!$B$15+Assumptions!$B$17</f>
        <v>1750</v>
      </c>
      <c r="T142" s="0" t="n">
        <f aca="false">Assumptions!$B$15*(1+Assumptions!$B$16)+Assumptions!$B$17</f>
        <v>1942</v>
      </c>
      <c r="U142" s="0" t="n">
        <f aca="false">IF(OR(C142&gt;Assumptions!$B$11,Assumptions!$B$10*C142&gt;Assumptions!$B$12),1,0)</f>
        <v>0</v>
      </c>
      <c r="V142" s="0" t="n">
        <f aca="false">MAX(0.6,1-Assumptions!$B$22*MAX(0,(Assumptions!$B$10-10000)*C142)/10000)</f>
        <v>1</v>
      </c>
      <c r="W142" s="0" t="n">
        <f aca="false">IF(U142=1,Assumptions!$B$23,MAX(Assumptions!$B$23,E142*POWER(1-O142,C142)*V142))</f>
        <v>12551.0279735185</v>
      </c>
      <c r="X142" s="0" t="n">
        <f aca="true">SUMPRODUCT((ROW(INDIRECT("1:"&amp;C142))&gt;Assumptions!$B$20)*Assumptions!$B$18*POWER(Assumptions!$B$19,ROW(INDIRECT("1:"&amp;C142))-Assumptions!$B$20-1)*IF(ROW(INDIRECT("1:"&amp;C142))&gt;Assumptions!$B$11,Assumptions!$B$21,1)/POWER(1+Assumptions!$B$2,ROW(INDIRECT("1:"&amp;C142))))</f>
        <v>2475.151938064</v>
      </c>
      <c r="Y142" s="1" t="n">
        <f aca="false">-PV(Assumptions!$B$2,C142,R142+S142)+X142</f>
        <v>13890.1143074536</v>
      </c>
      <c r="Z142" s="1" t="n">
        <f aca="false">P142+Y142-(W142/POWER(1+Assumptions!$B$2,C142))</f>
        <v>38551.170054852</v>
      </c>
      <c r="AA142" s="0" t="n">
        <f aca="false">P142*Assumptions!$B$7</f>
        <v>3418.9</v>
      </c>
      <c r="AB142" s="0" t="n">
        <f aca="false">P142-AA142</f>
        <v>30770.1</v>
      </c>
      <c r="AC142" s="1" t="n">
        <f aca="false">PMT(Assumptions!$B$5,Assumptions!$B$6,-AB142)</f>
        <v>609.139695809058</v>
      </c>
      <c r="AD142" s="0" t="n">
        <f aca="false">C142*12</f>
        <v>72</v>
      </c>
      <c r="AE142" s="0" t="n">
        <f aca="false">MIN(Assumptions!$B$6,AD142)</f>
        <v>60</v>
      </c>
      <c r="AF142" s="0" t="n">
        <f aca="false">IF(AD142&gt;=Assumptions!$B$6,0,-PV(Assumptions!$B$5,Assumptions!$B$6-AD142,AC142))</f>
        <v>0</v>
      </c>
      <c r="AG142" s="1" t="n">
        <f aca="false">AA142+(-PV(Assumptions!$B$3,AE142,AC142))+Y142-((W142-AF142)/POWER(1+Assumptions!$B$2,C142))</f>
        <v>40296.0947909209</v>
      </c>
      <c r="AH142" s="0" t="n">
        <f aca="false">H142/12</f>
        <v>3</v>
      </c>
      <c r="AI142" s="0" t="n">
        <f aca="false">MAX(0,Assumptions!$B$10-Assumptions!$B$24)*Assumptions!$B$25</f>
        <v>0</v>
      </c>
      <c r="AJ142" s="1" t="n">
        <f aca="false">F142+Assumptions!$B$27+(-PV(Assumptions!$B$3,H142-1,G142))</f>
        <v>19451.6898438466</v>
      </c>
      <c r="AK142" s="0" t="n">
        <f aca="false">CEILING(C142/AH142,1)</f>
        <v>2</v>
      </c>
      <c r="AL142" s="0" t="n">
        <f aca="false">(1+Assumptions!$B$26)/POWER(1+Assumptions!$B$2,AH142)</f>
        <v>0.906135810905202</v>
      </c>
      <c r="AM142" s="0" t="n">
        <f aca="false">IF(ABS(1-AL142)&lt;0.000000000001,AK142,(1-POWER(AL142,AK142))/(1-AL142))</f>
        <v>1.9061358109052</v>
      </c>
      <c r="AN142" s="0" t="n">
        <f aca="false">1/POWER(1+Assumptions!$B$2,AH142)</f>
        <v>0.871284433562695</v>
      </c>
      <c r="AO142" s="0" t="n">
        <f aca="false">IF(ABS(1-AN142)&lt;0.000000000001,AK142,AN142*(1-POWER(AN142,AK142))/(1-AN142))</f>
        <v>1.63042099773136</v>
      </c>
      <c r="AP142" s="1" t="n">
        <f aca="false">AJ142*AM142+Assumptions!$B$28*AO142+(-PV(Assumptions!$B$2,C142,R142+T142+AI142))</f>
        <v>50128.6461216</v>
      </c>
      <c r="AQ142" s="0" t="n">
        <f aca="false">N142*(1+Assumptions!$B$8)</f>
        <v>16556.61</v>
      </c>
      <c r="AR142" s="1" t="n">
        <f aca="false">PMT(Assumptions!$B$5,Assumptions!$B$29,-AQ142)</f>
        <v>511.144354711911</v>
      </c>
      <c r="AS142" s="0" t="n">
        <f aca="false">MAX(0,AD142-H142)</f>
        <v>36</v>
      </c>
      <c r="AT142" s="0" t="n">
        <f aca="false">MIN(Assumptions!$B$29,AS142)</f>
        <v>36</v>
      </c>
      <c r="AU142" s="0" t="n">
        <f aca="false">IF(AS142&gt;=Assumptions!$B$29,0,-PV(Assumptions!$B$5,Assumptions!$B$29-AS142,AR142))</f>
        <v>0</v>
      </c>
      <c r="AV142" s="1" t="n">
        <f aca="false">(-PV(Assumptions!$B$3,AT142,AR142))/POWER(1+Assumptions!$B$2,AH142)</f>
        <v>14926.4748646534</v>
      </c>
      <c r="AW142" s="1" t="n">
        <f aca="false">-PV(Assumptions!$B$2,AH142,T142+AI142)</f>
        <v>5318.41766002654</v>
      </c>
      <c r="AX142" s="1" t="n">
        <f aca="false">(-PV(Assumptions!$B$2,C142,S142))-(-PV(Assumptions!$B$2,AH142,S142))</f>
        <v>4175.71854126704</v>
      </c>
      <c r="AY142" s="1" t="n">
        <f aca="false">AJ142+AW142+AX142+(-PV(Assumptions!$B$2,C142,R142))+X142-(W142/POWER(1+Assumptions!$B$2,C142))</f>
        <v>24339.6766807404</v>
      </c>
      <c r="AZ142" s="1" t="n">
        <f aca="false">AY142+AV142+(AU142/POWER(1+Assumptions!$B$2,C142))</f>
        <v>39266.1515453937</v>
      </c>
      <c r="BA142" s="0" t="n">
        <f aca="false">AQ142/POWER(1+Assumptions!$B$2,AH142)</f>
        <v>14425.5165655684</v>
      </c>
      <c r="BB142" s="1" t="n">
        <f aca="false">AY142+BA142</f>
        <v>38765.1932463088</v>
      </c>
      <c r="BC142" s="1" t="n">
        <f aca="false">AJ142+Assumptions!$B$28/POWER(1+Assumptions!$B$2,AH142)+(-PV(Assumptions!$B$2,AH142,R142+T142+AI142))</f>
        <v>26426.0884406304</v>
      </c>
      <c r="BD142" s="1" t="n">
        <f aca="false">MIN(Z142,AG142,AZ142)</f>
        <v>38551.170054852</v>
      </c>
      <c r="BE142" s="0" t="str">
        <f aca="false">IF(BD142=Z142,"Cash",IF(BD142=AG142,"Loan","Lease then buy out"))</f>
        <v>Cash</v>
      </c>
    </row>
    <row r="143" customFormat="false" ht="15" hidden="false" customHeight="false" outlineLevel="0" collapsed="false">
      <c r="A143" s="0" t="s">
        <v>48</v>
      </c>
      <c r="B143" s="0" t="s">
        <v>132</v>
      </c>
      <c r="C143" s="0" t="n">
        <v>6</v>
      </c>
      <c r="D143" s="0" t="n">
        <v>0</v>
      </c>
      <c r="E143" s="0" t="n">
        <v>46040</v>
      </c>
      <c r="F143" s="0" t="n">
        <v>6059</v>
      </c>
      <c r="G143" s="0" t="n">
        <v>649</v>
      </c>
      <c r="H143" s="0" t="n">
        <v>36</v>
      </c>
      <c r="I143" s="0" t="n">
        <v>18</v>
      </c>
      <c r="J143" s="0" t="n">
        <v>11923</v>
      </c>
      <c r="K143" s="0" t="s">
        <v>107</v>
      </c>
      <c r="L143" s="0" t="n">
        <v>90.2</v>
      </c>
      <c r="M143" s="0" t="n">
        <f aca="false">MAX(Assumptions!$B$33,Assumptions!$B$30-Assumptions!$B$31*(H143-36)-IF(D143=1,Assumptions!$B$32,0))</f>
        <v>0.57</v>
      </c>
      <c r="N143" s="0" t="n">
        <f aca="false">E143*M143</f>
        <v>26242.8</v>
      </c>
      <c r="O143" s="0" t="n">
        <f aca="false">1-POWER(J143/E143,0.1)</f>
        <v>0.126375061519032</v>
      </c>
      <c r="P143" s="0" t="n">
        <f aca="false">E143*(1+Assumptions!$B$8)+Assumptions!$B$9</f>
        <v>48742</v>
      </c>
      <c r="Q143" s="0" t="n">
        <f aca="false">IF(D143=1,Assumptions!$B$14*33.7,Assumptions!$B$13)</f>
        <v>3.1</v>
      </c>
      <c r="R143" s="0" t="n">
        <f aca="false">(Assumptions!$B$10/I143)*Q143</f>
        <v>1722.22222222222</v>
      </c>
      <c r="S143" s="0" t="n">
        <f aca="false">Assumptions!$B$15+Assumptions!$B$17</f>
        <v>1750</v>
      </c>
      <c r="T143" s="0" t="n">
        <f aca="false">Assumptions!$B$15*(1+Assumptions!$B$16)+Assumptions!$B$17</f>
        <v>1942</v>
      </c>
      <c r="U143" s="0" t="n">
        <f aca="false">IF(OR(C143&gt;Assumptions!$B$11,Assumptions!$B$10*C143&gt;Assumptions!$B$12),1,0)</f>
        <v>0</v>
      </c>
      <c r="V143" s="0" t="n">
        <f aca="false">MAX(0.6,1-Assumptions!$B$22*MAX(0,(Assumptions!$B$10-10000)*C143)/10000)</f>
        <v>1</v>
      </c>
      <c r="W143" s="0" t="n">
        <f aca="false">IF(U143=1,Assumptions!$B$23,MAX(Assumptions!$B$23,E143*POWER(1-O143,C143)*V143))</f>
        <v>20468.4733749075</v>
      </c>
      <c r="X143" s="0" t="n">
        <f aca="true">SUMPRODUCT((ROW(INDIRECT("1:"&amp;C143))&gt;Assumptions!$B$20)*Assumptions!$B$18*POWER(Assumptions!$B$19,ROW(INDIRECT("1:"&amp;C143))-Assumptions!$B$20-1)*IF(ROW(INDIRECT("1:"&amp;C143))&gt;Assumptions!$B$11,Assumptions!$B$21,1)/POWER(1+Assumptions!$B$2,ROW(INDIRECT("1:"&amp;C143))))</f>
        <v>2475.151938064</v>
      </c>
      <c r="Y143" s="1" t="n">
        <f aca="false">-PV(Assumptions!$B$2,C143,R143+S143)+X143</f>
        <v>20269.4365000716</v>
      </c>
      <c r="Z143" s="1" t="n">
        <f aca="false">P143+Y143-(W143/POWER(1+Assumptions!$B$2,C143))</f>
        <v>53473.0699484665</v>
      </c>
      <c r="AA143" s="0" t="n">
        <f aca="false">P143*Assumptions!$B$7</f>
        <v>4874.2</v>
      </c>
      <c r="AB143" s="0" t="n">
        <f aca="false">P143-AA143</f>
        <v>43867.8</v>
      </c>
      <c r="AC143" s="1" t="n">
        <f aca="false">PMT(Assumptions!$B$5,Assumptions!$B$6,-AB143)</f>
        <v>868.428063211123</v>
      </c>
      <c r="AD143" s="0" t="n">
        <f aca="false">C143*12</f>
        <v>72</v>
      </c>
      <c r="AE143" s="0" t="n">
        <f aca="false">MIN(Assumptions!$B$6,AD143)</f>
        <v>60</v>
      </c>
      <c r="AF143" s="0" t="n">
        <f aca="false">IF(AD143&gt;=Assumptions!$B$6,0,-PV(Assumptions!$B$5,Assumptions!$B$6-AD143,AC143))</f>
        <v>0</v>
      </c>
      <c r="AG143" s="1" t="n">
        <f aca="false">AA143+(-PV(Assumptions!$B$3,AE143,AC143))+Y143-((W143-AF143)/POWER(1+Assumptions!$B$2,C143))</f>
        <v>55960.744975097</v>
      </c>
      <c r="AH143" s="0" t="n">
        <f aca="false">H143/12</f>
        <v>3</v>
      </c>
      <c r="AI143" s="0" t="n">
        <f aca="false">MAX(0,Assumptions!$B$10-Assumptions!$B$24)*Assumptions!$B$25</f>
        <v>0</v>
      </c>
      <c r="AJ143" s="1" t="n">
        <f aca="false">F143+Assumptions!$B$27+(-PV(Assumptions!$B$3,H143-1,G143))</f>
        <v>27947.1567467007</v>
      </c>
      <c r="AK143" s="0" t="n">
        <f aca="false">CEILING(C143/AH143,1)</f>
        <v>2</v>
      </c>
      <c r="AL143" s="0" t="n">
        <f aca="false">(1+Assumptions!$B$26)/POWER(1+Assumptions!$B$2,AH143)</f>
        <v>0.906135810905202</v>
      </c>
      <c r="AM143" s="0" t="n">
        <f aca="false">IF(ABS(1-AL143)&lt;0.000000000001,AK143,(1-POWER(AL143,AK143))/(1-AL143))</f>
        <v>1.9061358109052</v>
      </c>
      <c r="AN143" s="0" t="n">
        <f aca="false">1/POWER(1+Assumptions!$B$2,AH143)</f>
        <v>0.871284433562695</v>
      </c>
      <c r="AO143" s="0" t="n">
        <f aca="false">IF(ABS(1-AN143)&lt;0.000000000001,AK143,AN143*(1-POWER(AN143,AK143))/(1-AN143))</f>
        <v>1.63042099773136</v>
      </c>
      <c r="AP143" s="1" t="n">
        <f aca="false">AJ143*AM143+Assumptions!$B$28*AO143+(-PV(Assumptions!$B$2,C143,R143+T143+AI143))</f>
        <v>72701.4820081081</v>
      </c>
      <c r="AQ143" s="0" t="n">
        <f aca="false">N143*(1+Assumptions!$B$8)</f>
        <v>27554.94</v>
      </c>
      <c r="AR143" s="1" t="n">
        <f aca="false">PMT(Assumptions!$B$5,Assumptions!$B$29,-AQ143)</f>
        <v>850.690571646336</v>
      </c>
      <c r="AS143" s="0" t="n">
        <f aca="false">MAX(0,AD143-H143)</f>
        <v>36</v>
      </c>
      <c r="AT143" s="0" t="n">
        <f aca="false">MIN(Assumptions!$B$29,AS143)</f>
        <v>36</v>
      </c>
      <c r="AU143" s="0" t="n">
        <f aca="false">IF(AS143&gt;=Assumptions!$B$29,0,-PV(Assumptions!$B$5,Assumptions!$B$29-AS143,AR143))</f>
        <v>0</v>
      </c>
      <c r="AV143" s="1" t="n">
        <f aca="false">(-PV(Assumptions!$B$3,AT143,AR143))/POWER(1+Assumptions!$B$2,AH143)</f>
        <v>24841.9283480756</v>
      </c>
      <c r="AW143" s="1" t="n">
        <f aca="false">-PV(Assumptions!$B$2,AH143,T143+AI143)</f>
        <v>5318.41766002654</v>
      </c>
      <c r="AX143" s="1" t="n">
        <f aca="false">(-PV(Assumptions!$B$2,C143,S143))-(-PV(Assumptions!$B$2,AH143,S143))</f>
        <v>4175.71854126704</v>
      </c>
      <c r="AY143" s="1" t="n">
        <f aca="false">AJ143+AW143+AX143+(-PV(Assumptions!$B$2,C143,R143))+X143-(W143/POWER(1+Assumptions!$B$2,C143))</f>
        <v>33204.0434772089</v>
      </c>
      <c r="AZ143" s="1" t="n">
        <f aca="false">AY143+AV143+(AU143/POWER(1+Assumptions!$B$2,C143))</f>
        <v>58045.9718252845</v>
      </c>
      <c r="BA143" s="0" t="n">
        <f aca="false">AQ143/POWER(1+Assumptions!$B$2,AH143)</f>
        <v>24008.190289754</v>
      </c>
      <c r="BB143" s="1" t="n">
        <f aca="false">AY143+BA143</f>
        <v>57212.233766963</v>
      </c>
      <c r="BC143" s="1" t="n">
        <f aca="false">AJ143+Assumptions!$B$28/POWER(1+Assumptions!$B$2,AH143)+(-PV(Assumptions!$B$2,AH143,R143+T143+AI143))</f>
        <v>38330.6160283278</v>
      </c>
      <c r="BD143" s="1" t="n">
        <f aca="false">MIN(Z143,AG143,AZ143)</f>
        <v>53473.0699484665</v>
      </c>
      <c r="BE143" s="0" t="str">
        <f aca="false">IF(BD143=Z143,"Cash",IF(BD143=AG143,"Loan","Lease then buy out"))</f>
        <v>Cash</v>
      </c>
    </row>
    <row r="144" customFormat="false" ht="15" hidden="false" customHeight="false" outlineLevel="0" collapsed="false">
      <c r="A144" s="0" t="s">
        <v>51</v>
      </c>
      <c r="B144" s="0" t="s">
        <v>133</v>
      </c>
      <c r="C144" s="0" t="n">
        <v>6</v>
      </c>
      <c r="D144" s="0" t="n">
        <v>0</v>
      </c>
      <c r="E144" s="0" t="n">
        <v>29500</v>
      </c>
      <c r="F144" s="0" t="n">
        <v>3959</v>
      </c>
      <c r="G144" s="0" t="n">
        <v>439</v>
      </c>
      <c r="H144" s="0" t="n">
        <v>36</v>
      </c>
      <c r="I144" s="0" t="n">
        <v>23</v>
      </c>
      <c r="J144" s="0" t="n">
        <v>10711</v>
      </c>
      <c r="K144" s="0" t="s">
        <v>107</v>
      </c>
      <c r="L144" s="0" t="n">
        <v>91.4</v>
      </c>
      <c r="M144" s="0" t="n">
        <f aca="false">MAX(Assumptions!$B$33,Assumptions!$B$30-Assumptions!$B$31*(H144-36)-IF(D144=1,Assumptions!$B$32,0))</f>
        <v>0.57</v>
      </c>
      <c r="N144" s="0" t="n">
        <f aca="false">E144*M144</f>
        <v>16815</v>
      </c>
      <c r="O144" s="0" t="n">
        <f aca="false">1-POWER(J144/E144,0.1)</f>
        <v>0.0963488609989158</v>
      </c>
      <c r="P144" s="0" t="n">
        <f aca="false">E144*(1+Assumptions!$B$8)+Assumptions!$B$9</f>
        <v>31375</v>
      </c>
      <c r="Q144" s="0" t="n">
        <f aca="false">IF(D144=1,Assumptions!$B$14*33.7,Assumptions!$B$13)</f>
        <v>3.1</v>
      </c>
      <c r="R144" s="0" t="n">
        <f aca="false">(Assumptions!$B$10/I144)*Q144</f>
        <v>1347.82608695652</v>
      </c>
      <c r="S144" s="0" t="n">
        <f aca="false">Assumptions!$B$15+Assumptions!$B$17</f>
        <v>1750</v>
      </c>
      <c r="T144" s="0" t="n">
        <f aca="false">Assumptions!$B$15*(1+Assumptions!$B$16)+Assumptions!$B$17</f>
        <v>1942</v>
      </c>
      <c r="U144" s="0" t="n">
        <f aca="false">IF(OR(C144&gt;Assumptions!$B$11,Assumptions!$B$10*C144&gt;Assumptions!$B$12),1,0)</f>
        <v>0</v>
      </c>
      <c r="V144" s="0" t="n">
        <f aca="false">MAX(0.6,1-Assumptions!$B$22*MAX(0,(Assumptions!$B$10-10000)*C144)/10000)</f>
        <v>1</v>
      </c>
      <c r="W144" s="0" t="n">
        <f aca="false">IF(U144=1,Assumptions!$B$23,MAX(Assumptions!$B$23,E144*POWER(1-O144,C144)*V144))</f>
        <v>16063.0058667255</v>
      </c>
      <c r="X144" s="0" t="n">
        <f aca="true">SUMPRODUCT((ROW(INDIRECT("1:"&amp;C144))&gt;Assumptions!$B$20)*Assumptions!$B$18*POWER(Assumptions!$B$19,ROW(INDIRECT("1:"&amp;C144))-Assumptions!$B$20-1)*IF(ROW(INDIRECT("1:"&amp;C144))&gt;Assumptions!$B$11,Assumptions!$B$21,1)/POWER(1+Assumptions!$B$2,ROW(INDIRECT("1:"&amp;C144))))</f>
        <v>2475.151938064</v>
      </c>
      <c r="Y144" s="1" t="n">
        <f aca="false">-PV(Assumptions!$B$2,C144,R144+S144)+X144</f>
        <v>18350.7484255595</v>
      </c>
      <c r="Z144" s="1" t="n">
        <f aca="false">P144+Y144-(W144/POWER(1+Assumptions!$B$2,C144))</f>
        <v>37531.7333416723</v>
      </c>
      <c r="AA144" s="0" t="n">
        <f aca="false">P144*Assumptions!$B$7</f>
        <v>3137.5</v>
      </c>
      <c r="AB144" s="0" t="n">
        <f aca="false">P144-AA144</f>
        <v>28237.5</v>
      </c>
      <c r="AC144" s="1" t="n">
        <f aca="false">PMT(Assumptions!$B$5,Assumptions!$B$6,-AB144)</f>
        <v>559.003128374892</v>
      </c>
      <c r="AD144" s="0" t="n">
        <f aca="false">C144*12</f>
        <v>72</v>
      </c>
      <c r="AE144" s="0" t="n">
        <f aca="false">MIN(Assumptions!$B$6,AD144)</f>
        <v>60</v>
      </c>
      <c r="AF144" s="0" t="n">
        <f aca="false">IF(AD144&gt;=Assumptions!$B$6,0,-PV(Assumptions!$B$5,Assumptions!$B$6-AD144,AC144))</f>
        <v>0</v>
      </c>
      <c r="AG144" s="1" t="n">
        <f aca="false">AA144+(-PV(Assumptions!$B$3,AE144,AC144))+Y144-((W144-AF144)/POWER(1+Assumptions!$B$2,C144))</f>
        <v>39133.0382524378</v>
      </c>
      <c r="AH144" s="0" t="n">
        <f aca="false">H144/12</f>
        <v>3</v>
      </c>
      <c r="AI144" s="0" t="n">
        <f aca="false">MAX(0,Assumptions!$B$10-Assumptions!$B$24)*Assumptions!$B$25</f>
        <v>0</v>
      </c>
      <c r="AJ144" s="1" t="n">
        <f aca="false">F144+Assumptions!$B$27+(-PV(Assumptions!$B$3,H144-1,G144))</f>
        <v>18991.2046406805</v>
      </c>
      <c r="AK144" s="0" t="n">
        <f aca="false">CEILING(C144/AH144,1)</f>
        <v>2</v>
      </c>
      <c r="AL144" s="0" t="n">
        <f aca="false">(1+Assumptions!$B$26)/POWER(1+Assumptions!$B$2,AH144)</f>
        <v>0.906135810905202</v>
      </c>
      <c r="AM144" s="0" t="n">
        <f aca="false">IF(ABS(1-AL144)&lt;0.000000000001,AK144,(1-POWER(AL144,AK144))/(1-AL144))</f>
        <v>1.9061358109052</v>
      </c>
      <c r="AN144" s="0" t="n">
        <f aca="false">1/POWER(1+Assumptions!$B$2,AH144)</f>
        <v>0.871284433562695</v>
      </c>
      <c r="AO144" s="0" t="n">
        <f aca="false">IF(ABS(1-AN144)&lt;0.000000000001,AK144,AN144*(1-POWER(AN144,AK144))/(1-AN144))</f>
        <v>1.63042099773136</v>
      </c>
      <c r="AP144" s="1" t="n">
        <f aca="false">AJ144*AM144+Assumptions!$B$28*AO144+(-PV(Assumptions!$B$2,C144,R144+T144+AI144))</f>
        <v>53711.5329035589</v>
      </c>
      <c r="AQ144" s="0" t="n">
        <f aca="false">N144*(1+Assumptions!$B$8)</f>
        <v>17655.75</v>
      </c>
      <c r="AR144" s="1" t="n">
        <f aca="false">PMT(Assumptions!$B$5,Assumptions!$B$29,-AQ144)</f>
        <v>545.077581745589</v>
      </c>
      <c r="AS144" s="0" t="n">
        <f aca="false">MAX(0,AD144-H144)</f>
        <v>36</v>
      </c>
      <c r="AT144" s="0" t="n">
        <f aca="false">MIN(Assumptions!$B$29,AS144)</f>
        <v>36</v>
      </c>
      <c r="AU144" s="0" t="n">
        <f aca="false">IF(AS144&gt;=Assumptions!$B$29,0,-PV(Assumptions!$B$5,Assumptions!$B$29-AS144,AR144))</f>
        <v>0</v>
      </c>
      <c r="AV144" s="1" t="n">
        <f aca="false">(-PV(Assumptions!$B$3,AT144,AR144))/POWER(1+Assumptions!$B$2,AH144)</f>
        <v>15917.3954445749</v>
      </c>
      <c r="AW144" s="1" t="n">
        <f aca="false">-PV(Assumptions!$B$2,AH144,T144+AI144)</f>
        <v>5318.41766002654</v>
      </c>
      <c r="AX144" s="1" t="n">
        <f aca="false">(-PV(Assumptions!$B$2,C144,S144))-(-PV(Assumptions!$B$2,AH144,S144))</f>
        <v>4175.71854126704</v>
      </c>
      <c r="AY144" s="1" t="n">
        <f aca="false">AJ144+AW144+AX144+(-PV(Assumptions!$B$2,C144,R144))+X144-(W144/POWER(1+Assumptions!$B$2,C144))</f>
        <v>25673.7547643945</v>
      </c>
      <c r="AZ144" s="1" t="n">
        <f aca="false">AY144+AV144+(AU144/POWER(1+Assumptions!$B$2,C144))</f>
        <v>41591.1502089695</v>
      </c>
      <c r="BA144" s="0" t="n">
        <f aca="false">AQ144/POWER(1+Assumptions!$B$2,AH144)</f>
        <v>15383.1801378745</v>
      </c>
      <c r="BB144" s="1" t="n">
        <f aca="false">AY144+BA144</f>
        <v>41056.9349022691</v>
      </c>
      <c r="BC144" s="1" t="n">
        <f aca="false">AJ144+Assumptions!$B$28/POWER(1+Assumptions!$B$2,AH144)+(-PV(Assumptions!$B$2,AH144,R144+T144+AI144))</f>
        <v>28349.3317813999</v>
      </c>
      <c r="BD144" s="1" t="n">
        <f aca="false">MIN(Z144,AG144,AZ144)</f>
        <v>37531.7333416723</v>
      </c>
      <c r="BE144" s="0" t="str">
        <f aca="false">IF(BD144=Z144,"Cash",IF(BD144=AG144,"Loan","Lease then buy out"))</f>
        <v>Cash</v>
      </c>
    </row>
    <row r="145" customFormat="false" ht="15" hidden="false" customHeight="false" outlineLevel="0" collapsed="false">
      <c r="A145" s="0" t="s">
        <v>63</v>
      </c>
      <c r="B145" s="0" t="s">
        <v>134</v>
      </c>
      <c r="C145" s="0" t="n">
        <v>6</v>
      </c>
      <c r="D145" s="0" t="n">
        <v>0</v>
      </c>
      <c r="E145" s="0" t="n">
        <v>27468</v>
      </c>
      <c r="F145" s="0" t="n">
        <v>3000</v>
      </c>
      <c r="G145" s="0" t="n">
        <v>438</v>
      </c>
      <c r="H145" s="0" t="n">
        <v>36</v>
      </c>
      <c r="I145" s="0" t="n">
        <v>37</v>
      </c>
      <c r="J145" s="0" t="n">
        <v>9648</v>
      </c>
      <c r="K145" s="0" t="s">
        <v>99</v>
      </c>
      <c r="L145" s="0" t="n">
        <v>87.3</v>
      </c>
      <c r="M145" s="0" t="n">
        <f aca="false">MAX(Assumptions!$B$33,Assumptions!$B$30-Assumptions!$B$31*(H145-36)-IF(D145=1,Assumptions!$B$32,0))</f>
        <v>0.57</v>
      </c>
      <c r="N145" s="0" t="n">
        <f aca="false">E145*M145</f>
        <v>15656.76</v>
      </c>
      <c r="O145" s="0" t="n">
        <f aca="false">1-POWER(J145/E145,0.1)</f>
        <v>0.0993396883674095</v>
      </c>
      <c r="P145" s="0" t="n">
        <f aca="false">E145*(1+Assumptions!$B$8)+Assumptions!$B$9</f>
        <v>29241.4</v>
      </c>
      <c r="Q145" s="0" t="n">
        <f aca="false">IF(D145=1,Assumptions!$B$14*33.7,Assumptions!$B$13)</f>
        <v>3.1</v>
      </c>
      <c r="R145" s="0" t="n">
        <f aca="false">(Assumptions!$B$10/I145)*Q145</f>
        <v>837.837837837838</v>
      </c>
      <c r="S145" s="0" t="n">
        <f aca="false">Assumptions!$B$15+Assumptions!$B$17</f>
        <v>1750</v>
      </c>
      <c r="T145" s="0" t="n">
        <f aca="false">Assumptions!$B$15*(1+Assumptions!$B$16)+Assumptions!$B$17</f>
        <v>1942</v>
      </c>
      <c r="U145" s="0" t="n">
        <f aca="false">IF(OR(C145&gt;Assumptions!$B$11,Assumptions!$B$10*C145&gt;Assumptions!$B$12),1,0)</f>
        <v>0</v>
      </c>
      <c r="V145" s="0" t="n">
        <f aca="false">MAX(0.6,1-Assumptions!$B$22*MAX(0,(Assumptions!$B$10-10000)*C145)/10000)</f>
        <v>1</v>
      </c>
      <c r="W145" s="0" t="n">
        <f aca="false">IF(U145=1,Assumptions!$B$23,MAX(Assumptions!$B$23,E145*POWER(1-O145,C145)*V145))</f>
        <v>14661.9992301406</v>
      </c>
      <c r="X145" s="0" t="n">
        <f aca="true">SUMPRODUCT((ROW(INDIRECT("1:"&amp;C145))&gt;Assumptions!$B$20)*Assumptions!$B$18*POWER(Assumptions!$B$19,ROW(INDIRECT("1:"&amp;C145))-Assumptions!$B$20-1)*IF(ROW(INDIRECT("1:"&amp;C145))&gt;Assumptions!$B$11,Assumptions!$B$21,1)/POWER(1+Assumptions!$B$2,ROW(INDIRECT("1:"&amp;C145))))</f>
        <v>2475.151938064</v>
      </c>
      <c r="Y145" s="1" t="n">
        <f aca="false">-PV(Assumptions!$B$2,C145,R145+S145)+X145</f>
        <v>15737.1841294673</v>
      </c>
      <c r="Z145" s="1" t="n">
        <f aca="false">P145+Y145-(W145/POWER(1+Assumptions!$B$2,C145))</f>
        <v>33848.1244100548</v>
      </c>
      <c r="AA145" s="0" t="n">
        <f aca="false">P145*Assumptions!$B$7</f>
        <v>2924.14</v>
      </c>
      <c r="AB145" s="0" t="n">
        <f aca="false">P145-AA145</f>
        <v>26317.26</v>
      </c>
      <c r="AC145" s="1" t="n">
        <f aca="false">PMT(Assumptions!$B$5,Assumptions!$B$6,-AB145)</f>
        <v>520.989133962122</v>
      </c>
      <c r="AD145" s="0" t="n">
        <f aca="false">C145*12</f>
        <v>72</v>
      </c>
      <c r="AE145" s="0" t="n">
        <f aca="false">MIN(Assumptions!$B$6,AD145)</f>
        <v>60</v>
      </c>
      <c r="AF145" s="0" t="n">
        <f aca="false">IF(AD145&gt;=Assumptions!$B$6,0,-PV(Assumptions!$B$5,Assumptions!$B$6-AD145,AC145))</f>
        <v>0</v>
      </c>
      <c r="AG145" s="1" t="n">
        <f aca="false">AA145+(-PV(Assumptions!$B$3,AE145,AC145))+Y145-((W145-AF145)/POWER(1+Assumptions!$B$2,C145))</f>
        <v>35340.5354831275</v>
      </c>
      <c r="AH145" s="0" t="n">
        <f aca="false">H145/12</f>
        <v>3</v>
      </c>
      <c r="AI145" s="0" t="n">
        <f aca="false">MAX(0,Assumptions!$B$10-Assumptions!$B$24)*Assumptions!$B$25</f>
        <v>0</v>
      </c>
      <c r="AJ145" s="1" t="n">
        <f aca="false">F145+Assumptions!$B$27+(-PV(Assumptions!$B$3,H145-1,G145))</f>
        <v>17999.5572496994</v>
      </c>
      <c r="AK145" s="0" t="n">
        <f aca="false">CEILING(C145/AH145,1)</f>
        <v>2</v>
      </c>
      <c r="AL145" s="0" t="n">
        <f aca="false">(1+Assumptions!$B$26)/POWER(1+Assumptions!$B$2,AH145)</f>
        <v>0.906135810905202</v>
      </c>
      <c r="AM145" s="0" t="n">
        <f aca="false">IF(ABS(1-AL145)&lt;0.000000000001,AK145,(1-POWER(AL145,AK145))/(1-AL145))</f>
        <v>1.9061358109052</v>
      </c>
      <c r="AN145" s="0" t="n">
        <f aca="false">1/POWER(1+Assumptions!$B$2,AH145)</f>
        <v>0.871284433562695</v>
      </c>
      <c r="AO145" s="0" t="n">
        <f aca="false">IF(ABS(1-AN145)&lt;0.000000000001,AK145,AN145*(1-POWER(AN145,AK145))/(1-AN145))</f>
        <v>1.63042099773136</v>
      </c>
      <c r="AP145" s="1" t="n">
        <f aca="false">AJ145*AM145+Assumptions!$B$28*AO145+(-PV(Assumptions!$B$2,C145,R145+T145+AI145))</f>
        <v>49207.754003727</v>
      </c>
      <c r="AQ145" s="0" t="n">
        <f aca="false">N145*(1+Assumptions!$B$8)</f>
        <v>16439.598</v>
      </c>
      <c r="AR145" s="1" t="n">
        <f aca="false">PMT(Assumptions!$B$5,Assumptions!$B$29,-AQ145)</f>
        <v>507.531898826706</v>
      </c>
      <c r="AS145" s="0" t="n">
        <f aca="false">MAX(0,AD145-H145)</f>
        <v>36</v>
      </c>
      <c r="AT145" s="0" t="n">
        <f aca="false">MIN(Assumptions!$B$29,AS145)</f>
        <v>36</v>
      </c>
      <c r="AU145" s="0" t="n">
        <f aca="false">IF(AS145&gt;=Assumptions!$B$29,0,-PV(Assumptions!$B$5,Assumptions!$B$29-AS145,AR145))</f>
        <v>0</v>
      </c>
      <c r="AV145" s="1" t="n">
        <f aca="false">(-PV(Assumptions!$B$3,AT145,AR145))/POWER(1+Assumptions!$B$2,AH145)</f>
        <v>14820.9836634435</v>
      </c>
      <c r="AW145" s="1" t="n">
        <f aca="false">-PV(Assumptions!$B$2,AH145,T145+AI145)</f>
        <v>5318.41766002654</v>
      </c>
      <c r="AX145" s="1" t="n">
        <f aca="false">(-PV(Assumptions!$B$2,C145,S145))-(-PV(Assumptions!$B$2,AH145,S145))</f>
        <v>4175.71854126704</v>
      </c>
      <c r="AY145" s="1" t="n">
        <f aca="false">AJ145+AW145+AX145+(-PV(Assumptions!$B$2,C145,R145))+X145-(W145/POWER(1+Assumptions!$B$2,C145))</f>
        <v>23132.0984417959</v>
      </c>
      <c r="AZ145" s="1" t="n">
        <f aca="false">AY145+AV145+(AU145/POWER(1+Assumptions!$B$2,C145))</f>
        <v>37953.0821052395</v>
      </c>
      <c r="BA145" s="0" t="n">
        <f aca="false">AQ145/POWER(1+Assumptions!$B$2,AH145)</f>
        <v>14323.5658314284</v>
      </c>
      <c r="BB145" s="1" t="n">
        <f aca="false">AY145+BA145</f>
        <v>37455.6642732243</v>
      </c>
      <c r="BC145" s="1" t="n">
        <f aca="false">AJ145+Assumptions!$B$28/POWER(1+Assumptions!$B$2,AH145)+(-PV(Assumptions!$B$2,AH145,R145+T145+AI145))</f>
        <v>25961.0157444256</v>
      </c>
      <c r="BD145" s="1" t="n">
        <f aca="false">MIN(Z145,AG145,AZ145)</f>
        <v>33848.1244100548</v>
      </c>
      <c r="BE145" s="0" t="str">
        <f aca="false">IF(BD145=Z145,"Cash",IF(BD145=AG145,"Loan","Lease then buy out"))</f>
        <v>Cash</v>
      </c>
    </row>
    <row r="146" customFormat="false" ht="15" hidden="false" customHeight="false" outlineLevel="0" collapsed="false">
      <c r="A146" s="0" t="s">
        <v>51</v>
      </c>
      <c r="B146" s="0" t="s">
        <v>135</v>
      </c>
      <c r="C146" s="0" t="n">
        <v>6</v>
      </c>
      <c r="D146" s="0" t="n">
        <v>1</v>
      </c>
      <c r="E146" s="0" t="n">
        <v>31880</v>
      </c>
      <c r="F146" s="0" t="n">
        <v>3064</v>
      </c>
      <c r="G146" s="0" t="n">
        <v>564</v>
      </c>
      <c r="H146" s="0" t="n">
        <v>36</v>
      </c>
      <c r="I146" s="0" t="n">
        <v>115</v>
      </c>
      <c r="J146" s="0" t="n">
        <v>7551</v>
      </c>
      <c r="K146" s="0" t="s">
        <v>99</v>
      </c>
      <c r="L146" s="0" t="n">
        <v>148.9</v>
      </c>
      <c r="M146" s="0" t="n">
        <f aca="false">MAX(Assumptions!$B$33,Assumptions!$B$30-Assumptions!$B$31*(H146-36)-IF(D146=1,Assumptions!$B$32,0))</f>
        <v>0.49</v>
      </c>
      <c r="N146" s="0" t="n">
        <f aca="false">E146*M146</f>
        <v>15621.2</v>
      </c>
      <c r="O146" s="0" t="n">
        <f aca="false">1-POWER(J146/E146,0.1)</f>
        <v>0.134138128531617</v>
      </c>
      <c r="P146" s="0" t="n">
        <f aca="false">E146*(1+Assumptions!$B$8)+Assumptions!$B$9</f>
        <v>33874</v>
      </c>
      <c r="Q146" s="0" t="n">
        <f aca="false">IF(D146=1,Assumptions!$B$14*33.7,Assumptions!$B$13)</f>
        <v>5.729</v>
      </c>
      <c r="R146" s="0" t="n">
        <f aca="false">(Assumptions!$B$10/I146)*Q146</f>
        <v>498.173913043478</v>
      </c>
      <c r="S146" s="0" t="n">
        <f aca="false">Assumptions!$B$15+Assumptions!$B$17</f>
        <v>1750</v>
      </c>
      <c r="T146" s="0" t="n">
        <f aca="false">Assumptions!$B$15*(1+Assumptions!$B$16)+Assumptions!$B$17</f>
        <v>1942</v>
      </c>
      <c r="U146" s="0" t="n">
        <f aca="false">IF(OR(C146&gt;Assumptions!$B$11,Assumptions!$B$10*C146&gt;Assumptions!$B$12),1,0)</f>
        <v>0</v>
      </c>
      <c r="V146" s="0" t="n">
        <f aca="false">MAX(0.6,1-Assumptions!$B$22*MAX(0,(Assumptions!$B$10-10000)*C146)/10000)</f>
        <v>1</v>
      </c>
      <c r="W146" s="0" t="n">
        <f aca="false">IF(U146=1,Assumptions!$B$23,MAX(Assumptions!$B$23,E146*POWER(1-O146,C146)*V146))</f>
        <v>13434.14424992</v>
      </c>
      <c r="X146" s="0" t="n">
        <f aca="true">SUMPRODUCT((ROW(INDIRECT("1:"&amp;C146))&gt;Assumptions!$B$20)*Assumptions!$B$18*POWER(Assumptions!$B$19,ROW(INDIRECT("1:"&amp;C146))-Assumptions!$B$20-1)*IF(ROW(INDIRECT("1:"&amp;C146))&gt;Assumptions!$B$11,Assumptions!$B$21,1)/POWER(1+Assumptions!$B$2,ROW(INDIRECT("1:"&amp;C146))))</f>
        <v>2475.151938064</v>
      </c>
      <c r="Y146" s="1" t="n">
        <f aca="false">-PV(Assumptions!$B$2,C146,R146+S146)+X146</f>
        <v>13996.4900878944</v>
      </c>
      <c r="Z146" s="1" t="n">
        <f aca="false">P146+Y146-(W146/POWER(1+Assumptions!$B$2,C146))</f>
        <v>37672.1399794639</v>
      </c>
      <c r="AA146" s="0" t="n">
        <f aca="false">P146*Assumptions!$B$7</f>
        <v>3387.4</v>
      </c>
      <c r="AB146" s="0" t="n">
        <f aca="false">P146-AA146</f>
        <v>30486.6</v>
      </c>
      <c r="AC146" s="1" t="n">
        <f aca="false">PMT(Assumptions!$B$5,Assumptions!$B$6,-AB146)</f>
        <v>603.527393484338</v>
      </c>
      <c r="AD146" s="0" t="n">
        <f aca="false">C146*12</f>
        <v>72</v>
      </c>
      <c r="AE146" s="0" t="n">
        <f aca="false">MIN(Assumptions!$B$6,AD146)</f>
        <v>60</v>
      </c>
      <c r="AF146" s="0" t="n">
        <f aca="false">IF(AD146&gt;=Assumptions!$B$6,0,-PV(Assumptions!$B$5,Assumptions!$B$6-AD146,AC146))</f>
        <v>0</v>
      </c>
      <c r="AG146" s="1" t="n">
        <f aca="false">AA146+(-PV(Assumptions!$B$3,AE146,AC146))+Y146-((W146-AF146)/POWER(1+Assumptions!$B$2,C146))</f>
        <v>39400.9878694168</v>
      </c>
      <c r="AH146" s="0" t="n">
        <f aca="false">H146/12</f>
        <v>3</v>
      </c>
      <c r="AI146" s="0" t="n">
        <f aca="false">MAX(0,Assumptions!$B$10-Assumptions!$B$24)*Assumptions!$B$25</f>
        <v>0</v>
      </c>
      <c r="AJ146" s="1" t="n">
        <f aca="false">F146+Assumptions!$B$27+(-PV(Assumptions!$B$3,H146-1,G146))</f>
        <v>22177.1285133116</v>
      </c>
      <c r="AK146" s="0" t="n">
        <f aca="false">CEILING(C146/AH146,1)</f>
        <v>2</v>
      </c>
      <c r="AL146" s="0" t="n">
        <f aca="false">(1+Assumptions!$B$26)/POWER(1+Assumptions!$B$2,AH146)</f>
        <v>0.906135810905202</v>
      </c>
      <c r="AM146" s="0" t="n">
        <f aca="false">IF(ABS(1-AL146)&lt;0.000000000001,AK146,(1-POWER(AL146,AK146))/(1-AL146))</f>
        <v>1.9061358109052</v>
      </c>
      <c r="AN146" s="0" t="n">
        <f aca="false">1/POWER(1+Assumptions!$B$2,AH146)</f>
        <v>0.871284433562695</v>
      </c>
      <c r="AO146" s="0" t="n">
        <f aca="false">IF(ABS(1-AN146)&lt;0.000000000001,AK146,AN146*(1-POWER(AN146,AK146))/(1-AN146))</f>
        <v>1.63042099773136</v>
      </c>
      <c r="AP146" s="1" t="n">
        <f aca="false">AJ146*AM146+Assumptions!$B$28*AO146+(-PV(Assumptions!$B$2,C146,R146+T146+AI146))</f>
        <v>55430.0781503337</v>
      </c>
      <c r="AQ146" s="0" t="n">
        <f aca="false">N146*(1+Assumptions!$B$8)</f>
        <v>16402.26</v>
      </c>
      <c r="AR146" s="1" t="n">
        <f aca="false">PMT(Assumptions!$B$5,Assumptions!$B$29,-AQ146)</f>
        <v>506.379180491477</v>
      </c>
      <c r="AS146" s="0" t="n">
        <f aca="false">MAX(0,AD146-H146)</f>
        <v>36</v>
      </c>
      <c r="AT146" s="0" t="n">
        <f aca="false">MIN(Assumptions!$B$29,AS146)</f>
        <v>36</v>
      </c>
      <c r="AU146" s="0" t="n">
        <f aca="false">IF(AS146&gt;=Assumptions!$B$29,0,-PV(Assumptions!$B$5,Assumptions!$B$29-AS146,AR146))</f>
        <v>0</v>
      </c>
      <c r="AV146" s="1" t="n">
        <f aca="false">(-PV(Assumptions!$B$3,AT146,AR146))/POWER(1+Assumptions!$B$2,AH146)</f>
        <v>14787.3218982334</v>
      </c>
      <c r="AW146" s="1" t="n">
        <f aca="false">-PV(Assumptions!$B$2,AH146,T146+AI146)</f>
        <v>5318.41766002654</v>
      </c>
      <c r="AX146" s="1" t="n">
        <f aca="false">(-PV(Assumptions!$B$2,C146,S146))-(-PV(Assumptions!$B$2,AH146,S146))</f>
        <v>4175.71854126704</v>
      </c>
      <c r="AY146" s="1" t="n">
        <f aca="false">AJ146+AW146+AX146+(-PV(Assumptions!$B$2,C146,R146))+X146-(W146/POWER(1+Assumptions!$B$2,C146))</f>
        <v>26501.0852748172</v>
      </c>
      <c r="AZ146" s="1" t="n">
        <f aca="false">AY146+AV146+(AU146/POWER(1+Assumptions!$B$2,C146))</f>
        <v>41288.4071730506</v>
      </c>
      <c r="BA146" s="0" t="n">
        <f aca="false">AQ146/POWER(1+Assumptions!$B$2,AH146)</f>
        <v>14291.033813248</v>
      </c>
      <c r="BB146" s="1" t="n">
        <f aca="false">AY146+BA146</f>
        <v>40792.1190880653</v>
      </c>
      <c r="BC146" s="1" t="n">
        <f aca="false">AJ146+Assumptions!$B$28/POWER(1+Assumptions!$B$2,AH146)+(-PV(Assumptions!$B$2,AH146,R146+T146+AI146))</f>
        <v>29208.3735085011</v>
      </c>
      <c r="BD146" s="1" t="n">
        <f aca="false">MIN(Z146,AG146,AZ146)</f>
        <v>37672.1399794639</v>
      </c>
      <c r="BE146" s="0" t="str">
        <f aca="false">IF(BD146=Z146,"Cash",IF(BD146=AG146,"Loan","Lease then buy out"))</f>
        <v>Cash</v>
      </c>
    </row>
    <row r="147" customFormat="false" ht="15" hidden="false" customHeight="false" outlineLevel="0" collapsed="false">
      <c r="A147" s="0" t="s">
        <v>41</v>
      </c>
      <c r="B147" s="0" t="s">
        <v>136</v>
      </c>
      <c r="C147" s="0" t="n">
        <v>6</v>
      </c>
      <c r="D147" s="0" t="n">
        <v>0</v>
      </c>
      <c r="E147" s="0" t="n">
        <v>26900</v>
      </c>
      <c r="F147" s="0" t="n">
        <v>3959</v>
      </c>
      <c r="G147" s="0" t="n">
        <v>439</v>
      </c>
      <c r="H147" s="0" t="n">
        <v>36</v>
      </c>
      <c r="I147" s="0" t="n">
        <v>23</v>
      </c>
      <c r="J147" s="0" t="n">
        <v>10095</v>
      </c>
      <c r="K147" s="0" t="s">
        <v>99</v>
      </c>
      <c r="L147" s="0" t="n">
        <v>87.2</v>
      </c>
      <c r="M147" s="0" t="n">
        <f aca="false">MAX(Assumptions!$B$33,Assumptions!$B$30-Assumptions!$B$31*(H147-36)-IF(D147=1,Assumptions!$B$32,0))</f>
        <v>0.57</v>
      </c>
      <c r="N147" s="0" t="n">
        <f aca="false">E147*M147</f>
        <v>15333</v>
      </c>
      <c r="O147" s="0" t="n">
        <f aca="false">1-POWER(J147/E147,0.1)</f>
        <v>0.0933588965521325</v>
      </c>
      <c r="P147" s="0" t="n">
        <f aca="false">E147*(1+Assumptions!$B$8)+Assumptions!$B$9</f>
        <v>28645</v>
      </c>
      <c r="Q147" s="0" t="n">
        <f aca="false">IF(D147=1,Assumptions!$B$14*33.7,Assumptions!$B$13)</f>
        <v>3.1</v>
      </c>
      <c r="R147" s="0" t="n">
        <f aca="false">(Assumptions!$B$10/I147)*Q147</f>
        <v>1347.82608695652</v>
      </c>
      <c r="S147" s="0" t="n">
        <f aca="false">Assumptions!$B$15+Assumptions!$B$17</f>
        <v>1750</v>
      </c>
      <c r="T147" s="0" t="n">
        <f aca="false">Assumptions!$B$15*(1+Assumptions!$B$16)+Assumptions!$B$17</f>
        <v>1942</v>
      </c>
      <c r="U147" s="0" t="n">
        <f aca="false">IF(OR(C147&gt;Assumptions!$B$11,Assumptions!$B$10*C147&gt;Assumptions!$B$12),1,0)</f>
        <v>0</v>
      </c>
      <c r="V147" s="0" t="n">
        <f aca="false">MAX(0.6,1-Assumptions!$B$22*MAX(0,(Assumptions!$B$10-10000)*C147)/10000)</f>
        <v>1</v>
      </c>
      <c r="W147" s="0" t="n">
        <f aca="false">IF(U147=1,Assumptions!$B$23,MAX(Assumptions!$B$23,E147*POWER(1-O147,C147)*V147))</f>
        <v>14940.4853486835</v>
      </c>
      <c r="X147" s="0" t="n">
        <f aca="true">SUMPRODUCT((ROW(INDIRECT("1:"&amp;C147))&gt;Assumptions!$B$20)*Assumptions!$B$18*POWER(Assumptions!$B$19,ROW(INDIRECT("1:"&amp;C147))-Assumptions!$B$20-1)*IF(ROW(INDIRECT("1:"&amp;C147))&gt;Assumptions!$B$11,Assumptions!$B$21,1)/POWER(1+Assumptions!$B$2,ROW(INDIRECT("1:"&amp;C147))))</f>
        <v>2475.151938064</v>
      </c>
      <c r="Y147" s="1" t="n">
        <f aca="false">-PV(Assumptions!$B$2,C147,R147+S147)+X147</f>
        <v>18350.7484255595</v>
      </c>
      <c r="Z147" s="1" t="n">
        <f aca="false">P147+Y147-(W147/POWER(1+Assumptions!$B$2,C147))</f>
        <v>35653.8797109475</v>
      </c>
      <c r="AA147" s="0" t="n">
        <f aca="false">P147*Assumptions!$B$7</f>
        <v>2864.5</v>
      </c>
      <c r="AB147" s="0" t="n">
        <f aca="false">P147-AA147</f>
        <v>25780.5</v>
      </c>
      <c r="AC147" s="1" t="n">
        <f aca="false">PMT(Assumptions!$B$5,Assumptions!$B$6,-AB147)</f>
        <v>510.363174893985</v>
      </c>
      <c r="AD147" s="0" t="n">
        <f aca="false">C147*12</f>
        <v>72</v>
      </c>
      <c r="AE147" s="0" t="n">
        <f aca="false">MIN(Assumptions!$B$6,AD147)</f>
        <v>60</v>
      </c>
      <c r="AF147" s="0" t="n">
        <f aca="false">IF(AD147&gt;=Assumptions!$B$6,0,-PV(Assumptions!$B$5,Assumptions!$B$6-AD147,AC147))</f>
        <v>0</v>
      </c>
      <c r="AG147" s="1" t="n">
        <f aca="false">AA147+(-PV(Assumptions!$B$3,AE147,AC147))+Y147-((W147-AF147)/POWER(1+Assumptions!$B$2,C147))</f>
        <v>37115.8519553739</v>
      </c>
      <c r="AH147" s="0" t="n">
        <f aca="false">H147/12</f>
        <v>3</v>
      </c>
      <c r="AI147" s="0" t="n">
        <f aca="false">MAX(0,Assumptions!$B$10-Assumptions!$B$24)*Assumptions!$B$25</f>
        <v>0</v>
      </c>
      <c r="AJ147" s="1" t="n">
        <f aca="false">F147+Assumptions!$B$27+(-PV(Assumptions!$B$3,H147-1,G147))</f>
        <v>18991.2046406805</v>
      </c>
      <c r="AK147" s="0" t="n">
        <f aca="false">CEILING(C147/AH147,1)</f>
        <v>2</v>
      </c>
      <c r="AL147" s="0" t="n">
        <f aca="false">(1+Assumptions!$B$26)/POWER(1+Assumptions!$B$2,AH147)</f>
        <v>0.906135810905202</v>
      </c>
      <c r="AM147" s="0" t="n">
        <f aca="false">IF(ABS(1-AL147)&lt;0.000000000001,AK147,(1-POWER(AL147,AK147))/(1-AL147))</f>
        <v>1.9061358109052</v>
      </c>
      <c r="AN147" s="0" t="n">
        <f aca="false">1/POWER(1+Assumptions!$B$2,AH147)</f>
        <v>0.871284433562695</v>
      </c>
      <c r="AO147" s="0" t="n">
        <f aca="false">IF(ABS(1-AN147)&lt;0.000000000001,AK147,AN147*(1-POWER(AN147,AK147))/(1-AN147))</f>
        <v>1.63042099773136</v>
      </c>
      <c r="AP147" s="1" t="n">
        <f aca="false">AJ147*AM147+Assumptions!$B$28*AO147+(-PV(Assumptions!$B$2,C147,R147+T147+AI147))</f>
        <v>53711.5329035589</v>
      </c>
      <c r="AQ147" s="0" t="n">
        <f aca="false">N147*(1+Assumptions!$B$8)</f>
        <v>16099.65</v>
      </c>
      <c r="AR147" s="1" t="n">
        <f aca="false">PMT(Assumptions!$B$5,Assumptions!$B$29,-AQ147)</f>
        <v>497.036845727333</v>
      </c>
      <c r="AS147" s="0" t="n">
        <f aca="false">MAX(0,AD147-H147)</f>
        <v>36</v>
      </c>
      <c r="AT147" s="0" t="n">
        <f aca="false">MIN(Assumptions!$B$29,AS147)</f>
        <v>36</v>
      </c>
      <c r="AU147" s="0" t="n">
        <f aca="false">IF(AS147&gt;=Assumptions!$B$29,0,-PV(Assumptions!$B$5,Assumptions!$B$29-AS147,AR147))</f>
        <v>0</v>
      </c>
      <c r="AV147" s="1" t="n">
        <f aca="false">(-PV(Assumptions!$B$3,AT147,AR147))/POWER(1+Assumptions!$B$2,AH147)</f>
        <v>14514.5063545446</v>
      </c>
      <c r="AW147" s="1" t="n">
        <f aca="false">-PV(Assumptions!$B$2,AH147,T147+AI147)</f>
        <v>5318.41766002654</v>
      </c>
      <c r="AX147" s="1" t="n">
        <f aca="false">(-PV(Assumptions!$B$2,C147,S147))-(-PV(Assumptions!$B$2,AH147,S147))</f>
        <v>4175.71854126704</v>
      </c>
      <c r="AY147" s="1" t="n">
        <f aca="false">AJ147+AW147+AX147+(-PV(Assumptions!$B$2,C147,R147))+X147-(W147/POWER(1+Assumptions!$B$2,C147))</f>
        <v>26525.9011336698</v>
      </c>
      <c r="AZ147" s="1" t="n">
        <f aca="false">AY147+AV147+(AU147/POWER(1+Assumptions!$B$2,C147))</f>
        <v>41040.4074882144</v>
      </c>
      <c r="BA147" s="0" t="n">
        <f aca="false">AQ147/POWER(1+Assumptions!$B$2,AH147)</f>
        <v>14027.3744308076</v>
      </c>
      <c r="BB147" s="1" t="n">
        <f aca="false">AY147+BA147</f>
        <v>40553.2755644774</v>
      </c>
      <c r="BC147" s="1" t="n">
        <f aca="false">AJ147+Assumptions!$B$28/POWER(1+Assumptions!$B$2,AH147)+(-PV(Assumptions!$B$2,AH147,R147+T147+AI147))</f>
        <v>28349.3317813999</v>
      </c>
      <c r="BD147" s="1" t="n">
        <f aca="false">MIN(Z147,AG147,AZ147)</f>
        <v>35653.8797109475</v>
      </c>
      <c r="BE147" s="0" t="str">
        <f aca="false">IF(BD147=Z147,"Cash",IF(BD147=AG147,"Loan","Lease then buy out"))</f>
        <v>Cash</v>
      </c>
    </row>
    <row r="148" customFormat="false" ht="15" hidden="false" customHeight="false" outlineLevel="0" collapsed="false">
      <c r="A148" s="0" t="s">
        <v>31</v>
      </c>
      <c r="B148" s="0" t="s">
        <v>32</v>
      </c>
      <c r="C148" s="0" t="n">
        <v>10</v>
      </c>
      <c r="D148" s="0" t="n">
        <v>1</v>
      </c>
      <c r="E148" s="0" t="n">
        <v>43277</v>
      </c>
      <c r="F148" s="0" t="n">
        <v>1102</v>
      </c>
      <c r="G148" s="0" t="n">
        <v>458</v>
      </c>
      <c r="H148" s="0" t="n">
        <v>36</v>
      </c>
      <c r="I148" s="0" t="n">
        <v>104</v>
      </c>
      <c r="J148" s="0" t="n">
        <v>12581</v>
      </c>
      <c r="K148" s="0" t="s">
        <v>35</v>
      </c>
      <c r="L148" s="0" t="n">
        <v>163.5</v>
      </c>
      <c r="M148" s="0" t="n">
        <f aca="false">MAX(Assumptions!$B$33,Assumptions!$B$30-Assumptions!$B$31*(H148-36)-IF(D148=1,Assumptions!$B$32,0))</f>
        <v>0.49</v>
      </c>
      <c r="N148" s="0" t="n">
        <f aca="false">E148*M148</f>
        <v>21205.73</v>
      </c>
      <c r="O148" s="0" t="n">
        <f aca="false">1-POWER(J148/E148,0.1)</f>
        <v>0.116216678370963</v>
      </c>
      <c r="P148" s="0" t="n">
        <f aca="false">E148*(1+Assumptions!$B$8)+Assumptions!$B$9</f>
        <v>45840.85</v>
      </c>
      <c r="Q148" s="0" t="n">
        <f aca="false">IF(D148=1,Assumptions!$B$14*33.7,Assumptions!$B$13)</f>
        <v>5.729</v>
      </c>
      <c r="R148" s="0" t="n">
        <f aca="false">(Assumptions!$B$10/I148)*Q148</f>
        <v>550.865384615385</v>
      </c>
      <c r="S148" s="0" t="n">
        <f aca="false">Assumptions!$B$15+Assumptions!$B$17</f>
        <v>1750</v>
      </c>
      <c r="T148" s="0" t="n">
        <f aca="false">Assumptions!$B$15*(1+Assumptions!$B$16)+Assumptions!$B$17</f>
        <v>1942</v>
      </c>
      <c r="U148" s="0" t="n">
        <f aca="false">IF(OR(C148&gt;Assumptions!$B$11,Assumptions!$B$10*C148&gt;Assumptions!$B$12),1,0)</f>
        <v>0</v>
      </c>
      <c r="V148" s="0" t="n">
        <f aca="false">MAX(0.6,1-Assumptions!$B$22*MAX(0,(Assumptions!$B$10-10000)*C148)/10000)</f>
        <v>1</v>
      </c>
      <c r="W148" s="0" t="n">
        <f aca="false">IF(U148=1,Assumptions!$B$23,MAX(Assumptions!$B$23,E148*POWER(1-O148,C148)*V148))</f>
        <v>12581</v>
      </c>
      <c r="X148" s="0" t="n">
        <f aca="true">SUMPRODUCT((ROW(INDIRECT("1:"&amp;C148))&gt;Assumptions!$B$20)*Assumptions!$B$18*POWER(Assumptions!$B$19,ROW(INDIRECT("1:"&amp;C148))-Assumptions!$B$20-1)*IF(ROW(INDIRECT("1:"&amp;C148))&gt;Assumptions!$B$11,Assumptions!$B$21,1)/POWER(1+Assumptions!$B$2,ROW(INDIRECT("1:"&amp;C148))))</f>
        <v>7070.12417022456</v>
      </c>
      <c r="Y148" s="1" t="n">
        <f aca="false">-PV(Assumptions!$B$2,C148,R148+S148)+X148</f>
        <v>25098.5085641454</v>
      </c>
      <c r="Z148" s="1" t="n">
        <f aca="false">P148+Y148-(W148/POWER(1+Assumptions!$B$2,C148))</f>
        <v>62991.5326568567</v>
      </c>
      <c r="AA148" s="0" t="n">
        <f aca="false">P148*Assumptions!$B$7</f>
        <v>4584.085</v>
      </c>
      <c r="AB148" s="0" t="n">
        <f aca="false">P148-AA148</f>
        <v>41256.765</v>
      </c>
      <c r="AC148" s="1" t="n">
        <f aca="false">PMT(Assumptions!$B$5,Assumptions!$B$6,-AB148)</f>
        <v>816.738758800452</v>
      </c>
      <c r="AD148" s="0" t="n">
        <f aca="false">C148*12</f>
        <v>120</v>
      </c>
      <c r="AE148" s="0" t="n">
        <f aca="false">MIN(Assumptions!$B$6,AD148)</f>
        <v>60</v>
      </c>
      <c r="AF148" s="0" t="n">
        <f aca="false">IF(AD148&gt;=Assumptions!$B$6,0,-PV(Assumptions!$B$5,Assumptions!$B$6-AD148,AC148))</f>
        <v>0</v>
      </c>
      <c r="AG148" s="1" t="n">
        <f aca="false">AA148+(-PV(Assumptions!$B$3,AE148,AC148))+Y148-((W148-AF148)/POWER(1+Assumptions!$B$2,C148))</f>
        <v>65331.1399307583</v>
      </c>
      <c r="AH148" s="0" t="n">
        <f aca="false">H148/12</f>
        <v>3</v>
      </c>
      <c r="AI148" s="0" t="n">
        <f aca="false">MAX(0,Assumptions!$B$10-Assumptions!$B$24)*Assumptions!$B$25</f>
        <v>0</v>
      </c>
      <c r="AJ148" s="1" t="n">
        <f aca="false">F148+Assumptions!$B$27+(-PV(Assumptions!$B$3,H148-1,G148))</f>
        <v>16754.5050693204</v>
      </c>
      <c r="AK148" s="0" t="n">
        <f aca="false">CEILING(C148/AH148,1)</f>
        <v>4</v>
      </c>
      <c r="AL148" s="0" t="n">
        <f aca="false">(1+Assumptions!$B$26)/POWER(1+Assumptions!$B$2,AH148)</f>
        <v>0.906135810905202</v>
      </c>
      <c r="AM148" s="0" t="n">
        <f aca="false">IF(ABS(1-AL148)&lt;0.000000000001,AK148,(1-POWER(AL148,AK148))/(1-AL148))</f>
        <v>3.47122982028551</v>
      </c>
      <c r="AN148" s="0" t="n">
        <f aca="false">1/POWER(1+Assumptions!$B$2,AH148)</f>
        <v>0.871284433562695</v>
      </c>
      <c r="AO148" s="0" t="n">
        <f aca="false">IF(ABS(1-AN148)&lt;0.000000000001,AK148,AN148*(1-POWER(AN148,AK148))/(1-AN148))</f>
        <v>2.86813319209759</v>
      </c>
      <c r="AP148" s="1" t="n">
        <f aca="false">AJ148*AM148+Assumptions!$B$28*AO148+(-PV(Assumptions!$B$2,C148,R148+T148+AI148))</f>
        <v>78838.7874256473</v>
      </c>
      <c r="AQ148" s="0" t="n">
        <f aca="false">N148*(1+Assumptions!$B$8)</f>
        <v>22266.0165</v>
      </c>
      <c r="AR148" s="1" t="n">
        <f aca="false">PMT(Assumptions!$B$5,Assumptions!$B$29,-AQ148)</f>
        <v>687.408149125773</v>
      </c>
      <c r="AS148" s="0" t="n">
        <f aca="false">MAX(0,AD148-H148)</f>
        <v>84</v>
      </c>
      <c r="AT148" s="0" t="n">
        <f aca="false">MIN(Assumptions!$B$29,AS148)</f>
        <v>36</v>
      </c>
      <c r="AU148" s="0" t="n">
        <f aca="false">IF(AS148&gt;=Assumptions!$B$29,0,-PV(Assumptions!$B$5,Assumptions!$B$29-AS148,AR148))</f>
        <v>0</v>
      </c>
      <c r="AV148" s="1" t="n">
        <f aca="false">(-PV(Assumptions!$B$3,AT148,AR148))/POWER(1+Assumptions!$B$2,AH148)</f>
        <v>20073.7430925296</v>
      </c>
      <c r="AW148" s="1" t="n">
        <f aca="false">-PV(Assumptions!$B$2,AH148,T148+AI148)</f>
        <v>5318.41766002654</v>
      </c>
      <c r="AX148" s="1" t="n">
        <f aca="false">(-PV(Assumptions!$B$2,C148,S148))-(-PV(Assumptions!$B$2,AH148,S148))</f>
        <v>8919.48888629116</v>
      </c>
      <c r="AY148" s="1" t="n">
        <f aca="false">AJ148+AW148+AX148+(-PV(Assumptions!$B$2,C148,R148))+X148-(W148/POWER(1+Assumptions!$B$2,C148))</f>
        <v>34431.0045082188</v>
      </c>
      <c r="AZ148" s="1" t="n">
        <f aca="false">AY148+AV148+(AU148/POWER(1+Assumptions!$B$2,C148))</f>
        <v>54504.7476007484</v>
      </c>
      <c r="BA148" s="0" t="n">
        <f aca="false">AQ148/POWER(1+Assumptions!$B$2,AH148)</f>
        <v>19400.0335739001</v>
      </c>
      <c r="BB148" s="1" t="n">
        <f aca="false">AY148+BA148</f>
        <v>53831.0380821189</v>
      </c>
      <c r="BC148" s="1" t="n">
        <f aca="false">AJ148+Assumptions!$B$28/POWER(1+Assumptions!$B$2,AH148)+(-PV(Assumptions!$B$2,AH148,R148+T148+AI148))</f>
        <v>23930.0524604629</v>
      </c>
      <c r="BD148" s="1" t="n">
        <f aca="false">MIN(Z148,AG148,AZ148)</f>
        <v>54504.7476007484</v>
      </c>
      <c r="BE148" s="0" t="str">
        <f aca="false">IF(BD148=Z148,"Cash",IF(BD148=AG148,"Loan","Lease then buy out"))</f>
        <v>Lease then buy out</v>
      </c>
    </row>
    <row r="149" customFormat="false" ht="15" hidden="false" customHeight="false" outlineLevel="0" collapsed="false">
      <c r="A149" s="0" t="s">
        <v>31</v>
      </c>
      <c r="B149" s="0" t="s">
        <v>36</v>
      </c>
      <c r="C149" s="0" t="n">
        <v>10</v>
      </c>
      <c r="D149" s="0" t="n">
        <v>1</v>
      </c>
      <c r="E149" s="0" t="n">
        <v>47187</v>
      </c>
      <c r="F149" s="0" t="n">
        <v>1850</v>
      </c>
      <c r="G149" s="0" t="n">
        <v>319</v>
      </c>
      <c r="H149" s="0" t="n">
        <v>36</v>
      </c>
      <c r="I149" s="0" t="n">
        <v>104</v>
      </c>
      <c r="J149" s="0" t="n">
        <v>12581</v>
      </c>
      <c r="K149" s="0" t="s">
        <v>35</v>
      </c>
      <c r="L149" s="0" t="n">
        <v>163.5</v>
      </c>
      <c r="M149" s="0" t="n">
        <f aca="false">MAX(Assumptions!$B$33,Assumptions!$B$30-Assumptions!$B$31*(H149-36)-IF(D149=1,Assumptions!$B$32,0))</f>
        <v>0.49</v>
      </c>
      <c r="N149" s="0" t="n">
        <f aca="false">E149*M149</f>
        <v>23121.63</v>
      </c>
      <c r="O149" s="0" t="n">
        <f aca="false">1-POWER(J149/E149,0.1)</f>
        <v>0.123828183004646</v>
      </c>
      <c r="P149" s="0" t="n">
        <f aca="false">E149*(1+Assumptions!$B$8)+Assumptions!$B$9</f>
        <v>49946.35</v>
      </c>
      <c r="Q149" s="0" t="n">
        <f aca="false">IF(D149=1,Assumptions!$B$14*33.7,Assumptions!$B$13)</f>
        <v>5.729</v>
      </c>
      <c r="R149" s="0" t="n">
        <f aca="false">(Assumptions!$B$10/I149)*Q149</f>
        <v>550.865384615385</v>
      </c>
      <c r="S149" s="0" t="n">
        <f aca="false">Assumptions!$B$15+Assumptions!$B$17</f>
        <v>1750</v>
      </c>
      <c r="T149" s="0" t="n">
        <f aca="false">Assumptions!$B$15*(1+Assumptions!$B$16)+Assumptions!$B$17</f>
        <v>1942</v>
      </c>
      <c r="U149" s="0" t="n">
        <f aca="false">IF(OR(C149&gt;Assumptions!$B$11,Assumptions!$B$10*C149&gt;Assumptions!$B$12),1,0)</f>
        <v>0</v>
      </c>
      <c r="V149" s="0" t="n">
        <f aca="false">MAX(0.6,1-Assumptions!$B$22*MAX(0,(Assumptions!$B$10-10000)*C149)/10000)</f>
        <v>1</v>
      </c>
      <c r="W149" s="0" t="n">
        <f aca="false">IF(U149=1,Assumptions!$B$23,MAX(Assumptions!$B$23,E149*POWER(1-O149,C149)*V149))</f>
        <v>12581</v>
      </c>
      <c r="X149" s="0" t="n">
        <f aca="true">SUMPRODUCT((ROW(INDIRECT("1:"&amp;C149))&gt;Assumptions!$B$20)*Assumptions!$B$18*POWER(Assumptions!$B$19,ROW(INDIRECT("1:"&amp;C149))-Assumptions!$B$20-1)*IF(ROW(INDIRECT("1:"&amp;C149))&gt;Assumptions!$B$11,Assumptions!$B$21,1)/POWER(1+Assumptions!$B$2,ROW(INDIRECT("1:"&amp;C149))))</f>
        <v>7070.12417022456</v>
      </c>
      <c r="Y149" s="1" t="n">
        <f aca="false">-PV(Assumptions!$B$2,C149,R149+S149)+X149</f>
        <v>25098.5085641454</v>
      </c>
      <c r="Z149" s="1" t="n">
        <f aca="false">P149+Y149-(W149/POWER(1+Assumptions!$B$2,C149))</f>
        <v>67097.0326568567</v>
      </c>
      <c r="AA149" s="0" t="n">
        <f aca="false">P149*Assumptions!$B$7</f>
        <v>4994.635</v>
      </c>
      <c r="AB149" s="0" t="n">
        <f aca="false">P149-AA149</f>
        <v>44951.715</v>
      </c>
      <c r="AC149" s="1" t="n">
        <f aca="false">PMT(Assumptions!$B$5,Assumptions!$B$6,-AB149)</f>
        <v>889.88576576597</v>
      </c>
      <c r="AD149" s="0" t="n">
        <f aca="false">C149*12</f>
        <v>120</v>
      </c>
      <c r="AE149" s="0" t="n">
        <f aca="false">MIN(Assumptions!$B$6,AD149)</f>
        <v>60</v>
      </c>
      <c r="AF149" s="0" t="n">
        <f aca="false">IF(AD149&gt;=Assumptions!$B$6,0,-PV(Assumptions!$B$5,Assumptions!$B$6-AD149,AC149))</f>
        <v>0</v>
      </c>
      <c r="AG149" s="1" t="n">
        <f aca="false">AA149+(-PV(Assumptions!$B$3,AE149,AC149))+Y149-((W149-AF149)/POWER(1+Assumptions!$B$2,C149))</f>
        <v>69646.1748251375</v>
      </c>
      <c r="AH149" s="0" t="n">
        <f aca="false">H149/12</f>
        <v>3</v>
      </c>
      <c r="AI149" s="0" t="n">
        <f aca="false">MAX(0,Assumptions!$B$10-Assumptions!$B$24)*Assumptions!$B$25</f>
        <v>0</v>
      </c>
      <c r="AJ149" s="1" t="n">
        <f aca="false">F149+Assumptions!$B$27+(-PV(Assumptions!$B$3,H149-1,G149))</f>
        <v>12964.5177229546</v>
      </c>
      <c r="AK149" s="0" t="n">
        <f aca="false">CEILING(C149/AH149,1)</f>
        <v>4</v>
      </c>
      <c r="AL149" s="0" t="n">
        <f aca="false">(1+Assumptions!$B$26)/POWER(1+Assumptions!$B$2,AH149)</f>
        <v>0.906135810905202</v>
      </c>
      <c r="AM149" s="0" t="n">
        <f aca="false">IF(ABS(1-AL149)&lt;0.000000000001,AK149,(1-POWER(AL149,AK149))/(1-AL149))</f>
        <v>3.47122982028551</v>
      </c>
      <c r="AN149" s="0" t="n">
        <f aca="false">1/POWER(1+Assumptions!$B$2,AH149)</f>
        <v>0.871284433562695</v>
      </c>
      <c r="AO149" s="0" t="n">
        <f aca="false">IF(ABS(1-AN149)&lt;0.000000000001,AK149,AN149*(1-POWER(AN149,AK149))/(1-AN149))</f>
        <v>2.86813319209759</v>
      </c>
      <c r="AP149" s="1" t="n">
        <f aca="false">AJ149*AM149+Assumptions!$B$28*AO149+(-PV(Assumptions!$B$2,C149,R149+T149+AI149))</f>
        <v>65682.8703304376</v>
      </c>
      <c r="AQ149" s="0" t="n">
        <f aca="false">N149*(1+Assumptions!$B$8)</f>
        <v>24277.7115</v>
      </c>
      <c r="AR149" s="1" t="n">
        <f aca="false">PMT(Assumptions!$B$5,Assumptions!$B$29,-AQ149)</f>
        <v>749.5142531321</v>
      </c>
      <c r="AS149" s="0" t="n">
        <f aca="false">MAX(0,AD149-H149)</f>
        <v>84</v>
      </c>
      <c r="AT149" s="0" t="n">
        <f aca="false">MIN(Assumptions!$B$29,AS149)</f>
        <v>36</v>
      </c>
      <c r="AU149" s="0" t="n">
        <f aca="false">IF(AS149&gt;=Assumptions!$B$29,0,-PV(Assumptions!$B$5,Assumptions!$B$29-AS149,AR149))</f>
        <v>0</v>
      </c>
      <c r="AV149" s="1" t="n">
        <f aca="false">(-PV(Assumptions!$B$3,AT149,AR149))/POWER(1+Assumptions!$B$2,AH149)</f>
        <v>21887.3700882038</v>
      </c>
      <c r="AW149" s="1" t="n">
        <f aca="false">-PV(Assumptions!$B$2,AH149,T149+AI149)</f>
        <v>5318.41766002654</v>
      </c>
      <c r="AX149" s="1" t="n">
        <f aca="false">(-PV(Assumptions!$B$2,C149,S149))-(-PV(Assumptions!$B$2,AH149,S149))</f>
        <v>8919.48888629116</v>
      </c>
      <c r="AY149" s="1" t="n">
        <f aca="false">AJ149+AW149+AX149+(-PV(Assumptions!$B$2,C149,R149))+X149-(W149/POWER(1+Assumptions!$B$2,C149))</f>
        <v>30641.017161853</v>
      </c>
      <c r="AZ149" s="1" t="n">
        <f aca="false">AY149+AV149+(AU149/POWER(1+Assumptions!$B$2,C149))</f>
        <v>52528.3872500568</v>
      </c>
      <c r="BA149" s="0" t="n">
        <f aca="false">AQ149/POWER(1+Assumptions!$B$2,AH149)</f>
        <v>21152.792112476</v>
      </c>
      <c r="BB149" s="1" t="n">
        <f aca="false">AY149+BA149</f>
        <v>51793.809274329</v>
      </c>
      <c r="BC149" s="1" t="n">
        <f aca="false">AJ149+Assumptions!$B$28/POWER(1+Assumptions!$B$2,AH149)+(-PV(Assumptions!$B$2,AH149,R149+T149+AI149))</f>
        <v>20140.0651140971</v>
      </c>
      <c r="BD149" s="1" t="n">
        <f aca="false">MIN(Z149,AG149,AZ149)</f>
        <v>52528.3872500568</v>
      </c>
      <c r="BE149" s="0" t="str">
        <f aca="false">IF(BD149=Z149,"Cash",IF(BD149=AG149,"Loan","Lease then buy out"))</f>
        <v>Lease then buy out</v>
      </c>
    </row>
    <row r="150" customFormat="false" ht="15" hidden="false" customHeight="false" outlineLevel="0" collapsed="false">
      <c r="A150" s="0" t="s">
        <v>37</v>
      </c>
      <c r="B150" s="0" t="s">
        <v>38</v>
      </c>
      <c r="C150" s="0" t="n">
        <v>10</v>
      </c>
      <c r="D150" s="0" t="n">
        <v>1</v>
      </c>
      <c r="E150" s="0" t="n">
        <v>49130</v>
      </c>
      <c r="F150" s="0" t="n">
        <v>7932</v>
      </c>
      <c r="G150" s="0" t="n">
        <v>356</v>
      </c>
      <c r="H150" s="0" t="n">
        <v>36</v>
      </c>
      <c r="I150" s="0" t="n">
        <v>128</v>
      </c>
      <c r="J150" s="0" t="n">
        <v>10841</v>
      </c>
      <c r="K150" s="0" t="s">
        <v>35</v>
      </c>
      <c r="L150" s="0" t="n">
        <v>127</v>
      </c>
      <c r="M150" s="0" t="n">
        <f aca="false">MAX(Assumptions!$B$33,Assumptions!$B$30-Assumptions!$B$31*(H150-36)-IF(D150=1,Assumptions!$B$32,0))</f>
        <v>0.49</v>
      </c>
      <c r="N150" s="0" t="n">
        <f aca="false">E150*M150</f>
        <v>24073.7</v>
      </c>
      <c r="O150" s="0" t="n">
        <f aca="false">1-POWER(J150/E150,0.1)</f>
        <v>0.140249854427443</v>
      </c>
      <c r="P150" s="0" t="n">
        <f aca="false">E150*(1+Assumptions!$B$8)+Assumptions!$B$9</f>
        <v>51986.5</v>
      </c>
      <c r="Q150" s="0" t="n">
        <f aca="false">IF(D150=1,Assumptions!$B$14*33.7,Assumptions!$B$13)</f>
        <v>5.729</v>
      </c>
      <c r="R150" s="0" t="n">
        <f aca="false">(Assumptions!$B$10/I150)*Q150</f>
        <v>447.578125</v>
      </c>
      <c r="S150" s="0" t="n">
        <f aca="false">Assumptions!$B$15+Assumptions!$B$17</f>
        <v>1750</v>
      </c>
      <c r="T150" s="0" t="n">
        <f aca="false">Assumptions!$B$15*(1+Assumptions!$B$16)+Assumptions!$B$17</f>
        <v>1942</v>
      </c>
      <c r="U150" s="0" t="n">
        <f aca="false">IF(OR(C150&gt;Assumptions!$B$11,Assumptions!$B$10*C150&gt;Assumptions!$B$12),1,0)</f>
        <v>0</v>
      </c>
      <c r="V150" s="0" t="n">
        <f aca="false">MAX(0.6,1-Assumptions!$B$22*MAX(0,(Assumptions!$B$10-10000)*C150)/10000)</f>
        <v>1</v>
      </c>
      <c r="W150" s="0" t="n">
        <f aca="false">IF(U150=1,Assumptions!$B$23,MAX(Assumptions!$B$23,E150*POWER(1-O150,C150)*V150))</f>
        <v>10841</v>
      </c>
      <c r="X150" s="0" t="n">
        <f aca="true">SUMPRODUCT((ROW(INDIRECT("1:"&amp;C150))&gt;Assumptions!$B$20)*Assumptions!$B$18*POWER(Assumptions!$B$19,ROW(INDIRECT("1:"&amp;C150))-Assumptions!$B$20-1)*IF(ROW(INDIRECT("1:"&amp;C150))&gt;Assumptions!$B$11,Assumptions!$B$21,1)/POWER(1+Assumptions!$B$2,ROW(INDIRECT("1:"&amp;C150))))</f>
        <v>7070.12417022456</v>
      </c>
      <c r="Y150" s="1" t="n">
        <f aca="false">-PV(Assumptions!$B$2,C150,R150+S150)+X150</f>
        <v>24289.203321087</v>
      </c>
      <c r="Z150" s="1" t="n">
        <f aca="false">P150+Y150-(W150/POWER(1+Assumptions!$B$2,C150))</f>
        <v>69427.091870414</v>
      </c>
      <c r="AA150" s="0" t="n">
        <f aca="false">P150*Assumptions!$B$7</f>
        <v>5198.65</v>
      </c>
      <c r="AB150" s="0" t="n">
        <f aca="false">P150-AA150</f>
        <v>46787.85</v>
      </c>
      <c r="AC150" s="1" t="n">
        <f aca="false">PMT(Assumptions!$B$5,Assumptions!$B$6,-AB150)</f>
        <v>926.23477715574</v>
      </c>
      <c r="AD150" s="0" t="n">
        <f aca="false">C150*12</f>
        <v>120</v>
      </c>
      <c r="AE150" s="0" t="n">
        <f aca="false">MIN(Assumptions!$B$6,AD150)</f>
        <v>60</v>
      </c>
      <c r="AF150" s="0" t="n">
        <f aca="false">IF(AD150&gt;=Assumptions!$B$6,0,-PV(Assumptions!$B$5,Assumptions!$B$6-AD150,AC150))</f>
        <v>0</v>
      </c>
      <c r="AG150" s="1" t="n">
        <f aca="false">AA150+(-PV(Assumptions!$B$3,AE150,AC150))+Y150-((W150-AF150)/POWER(1+Assumptions!$B$2,C150))</f>
        <v>72080.3584120398</v>
      </c>
      <c r="AH150" s="0" t="n">
        <f aca="false">H150/12</f>
        <v>3</v>
      </c>
      <c r="AI150" s="0" t="n">
        <f aca="false">MAX(0,Assumptions!$B$10-Assumptions!$B$24)*Assumptions!$B$25</f>
        <v>0</v>
      </c>
      <c r="AJ150" s="1" t="n">
        <f aca="false">F150+Assumptions!$B$27+(-PV(Assumptions!$B$3,H150-1,G150))</f>
        <v>20254.4711892534</v>
      </c>
      <c r="AK150" s="0" t="n">
        <f aca="false">CEILING(C150/AH150,1)</f>
        <v>4</v>
      </c>
      <c r="AL150" s="0" t="n">
        <f aca="false">(1+Assumptions!$B$26)/POWER(1+Assumptions!$B$2,AH150)</f>
        <v>0.906135810905202</v>
      </c>
      <c r="AM150" s="0" t="n">
        <f aca="false">IF(ABS(1-AL150)&lt;0.000000000001,AK150,(1-POWER(AL150,AK150))/(1-AL150))</f>
        <v>3.47122982028551</v>
      </c>
      <c r="AN150" s="0" t="n">
        <f aca="false">1/POWER(1+Assumptions!$B$2,AH150)</f>
        <v>0.871284433562695</v>
      </c>
      <c r="AO150" s="0" t="n">
        <f aca="false">IF(ABS(1-AN150)&lt;0.000000000001,AK150,AN150*(1-POWER(AN150,AK150))/(1-AN150))</f>
        <v>2.86813319209759</v>
      </c>
      <c r="AP150" s="1" t="n">
        <f aca="false">AJ150*AM150+Assumptions!$B$28*AO150+(-PV(Assumptions!$B$2,C150,R150+T150+AI150))</f>
        <v>90178.6689480893</v>
      </c>
      <c r="AQ150" s="0" t="n">
        <f aca="false">N150*(1+Assumptions!$B$8)</f>
        <v>25277.385</v>
      </c>
      <c r="AR150" s="1" t="n">
        <f aca="false">PMT(Assumptions!$B$5,Assumptions!$B$29,-AQ150)</f>
        <v>780.376698166445</v>
      </c>
      <c r="AS150" s="0" t="n">
        <f aca="false">MAX(0,AD150-H150)</f>
        <v>84</v>
      </c>
      <c r="AT150" s="0" t="n">
        <f aca="false">MIN(Assumptions!$B$29,AS150)</f>
        <v>36</v>
      </c>
      <c r="AU150" s="0" t="n">
        <f aca="false">IF(AS150&gt;=Assumptions!$B$29,0,-PV(Assumptions!$B$5,Assumptions!$B$29-AS150,AR150))</f>
        <v>0</v>
      </c>
      <c r="AV150" s="1" t="n">
        <f aca="false">(-PV(Assumptions!$B$3,AT150,AR150))/POWER(1+Assumptions!$B$2,AH150)</f>
        <v>22788.6174673841</v>
      </c>
      <c r="AW150" s="1" t="n">
        <f aca="false">-PV(Assumptions!$B$2,AH150,T150+AI150)</f>
        <v>5318.41766002654</v>
      </c>
      <c r="AX150" s="1" t="n">
        <f aca="false">(-PV(Assumptions!$B$2,C150,S150))-(-PV(Assumptions!$B$2,AH150,S150))</f>
        <v>8919.48888629116</v>
      </c>
      <c r="AY150" s="1" t="n">
        <f aca="false">AJ150+AW150+AX150+(-PV(Assumptions!$B$2,C150,R150))+X150-(W150/POWER(1+Assumptions!$B$2,C150))</f>
        <v>38220.8798417091</v>
      </c>
      <c r="AZ150" s="1" t="n">
        <f aca="false">AY150+AV150+(AU150/POWER(1+Assumptions!$B$2,C150))</f>
        <v>61009.4973090932</v>
      </c>
      <c r="BA150" s="0" t="n">
        <f aca="false">AQ150/POWER(1+Assumptions!$B$2,AH150)</f>
        <v>22023.7920716712</v>
      </c>
      <c r="BB150" s="1" t="n">
        <f aca="false">AY150+BA150</f>
        <v>60244.6719133803</v>
      </c>
      <c r="BC150" s="1" t="n">
        <f aca="false">AJ150+Assumptions!$B$28/POWER(1+Assumptions!$B$2,AH150)+(-PV(Assumptions!$B$2,AH150,R150+T150+AI150))</f>
        <v>27147.1530883289</v>
      </c>
      <c r="BD150" s="1" t="n">
        <f aca="false">MIN(Z150,AG150,AZ150)</f>
        <v>61009.4973090932</v>
      </c>
      <c r="BE150" s="0" t="str">
        <f aca="false">IF(BD150=Z150,"Cash",IF(BD150=AG150,"Loan","Lease then buy out"))</f>
        <v>Lease then buy out</v>
      </c>
    </row>
    <row r="151" customFormat="false" ht="15" hidden="false" customHeight="false" outlineLevel="0" collapsed="false">
      <c r="A151" s="0" t="s">
        <v>37</v>
      </c>
      <c r="B151" s="0" t="s">
        <v>39</v>
      </c>
      <c r="C151" s="0" t="n">
        <v>10</v>
      </c>
      <c r="D151" s="0" t="n">
        <v>1</v>
      </c>
      <c r="E151" s="0" t="n">
        <v>50990</v>
      </c>
      <c r="F151" s="0" t="n">
        <v>4158</v>
      </c>
      <c r="G151" s="0" t="n">
        <v>464</v>
      </c>
      <c r="H151" s="0" t="n">
        <v>36</v>
      </c>
      <c r="I151" s="0" t="n">
        <v>110</v>
      </c>
      <c r="J151" s="0" t="n">
        <v>15876</v>
      </c>
      <c r="K151" s="0" t="s">
        <v>35</v>
      </c>
      <c r="L151" s="0" t="n">
        <v>173.2</v>
      </c>
      <c r="M151" s="0" t="n">
        <f aca="false">MAX(Assumptions!$B$33,Assumptions!$B$30-Assumptions!$B$31*(H151-36)-IF(D151=1,Assumptions!$B$32,0))</f>
        <v>0.49</v>
      </c>
      <c r="N151" s="0" t="n">
        <f aca="false">E151*M151</f>
        <v>24985.1</v>
      </c>
      <c r="O151" s="0" t="n">
        <f aca="false">1-POWER(J151/E151,0.1)</f>
        <v>0.11013196276101</v>
      </c>
      <c r="P151" s="0" t="n">
        <f aca="false">E151*(1+Assumptions!$B$8)+Assumptions!$B$9</f>
        <v>53939.5</v>
      </c>
      <c r="Q151" s="0" t="n">
        <f aca="false">IF(D151=1,Assumptions!$B$14*33.7,Assumptions!$B$13)</f>
        <v>5.729</v>
      </c>
      <c r="R151" s="0" t="n">
        <f aca="false">(Assumptions!$B$10/I151)*Q151</f>
        <v>520.818181818182</v>
      </c>
      <c r="S151" s="0" t="n">
        <f aca="false">Assumptions!$B$15+Assumptions!$B$17</f>
        <v>1750</v>
      </c>
      <c r="T151" s="0" t="n">
        <f aca="false">Assumptions!$B$15*(1+Assumptions!$B$16)+Assumptions!$B$17</f>
        <v>1942</v>
      </c>
      <c r="U151" s="0" t="n">
        <f aca="false">IF(OR(C151&gt;Assumptions!$B$11,Assumptions!$B$10*C151&gt;Assumptions!$B$12),1,0)</f>
        <v>0</v>
      </c>
      <c r="V151" s="0" t="n">
        <f aca="false">MAX(0.6,1-Assumptions!$B$22*MAX(0,(Assumptions!$B$10-10000)*C151)/10000)</f>
        <v>1</v>
      </c>
      <c r="W151" s="0" t="n">
        <f aca="false">IF(U151=1,Assumptions!$B$23,MAX(Assumptions!$B$23,E151*POWER(1-O151,C151)*V151))</f>
        <v>15876</v>
      </c>
      <c r="X151" s="0" t="n">
        <f aca="true">SUMPRODUCT((ROW(INDIRECT("1:"&amp;C151))&gt;Assumptions!$B$20)*Assumptions!$B$18*POWER(Assumptions!$B$19,ROW(INDIRECT("1:"&amp;C151))-Assumptions!$B$20-1)*IF(ROW(INDIRECT("1:"&amp;C151))&gt;Assumptions!$B$11,Assumptions!$B$21,1)/POWER(1+Assumptions!$B$2,ROW(INDIRECT("1:"&amp;C151))))</f>
        <v>7070.12417022456</v>
      </c>
      <c r="Y151" s="1" t="n">
        <f aca="false">-PV(Assumptions!$B$2,C151,R151+S151)+X151</f>
        <v>24863.0743116193</v>
      </c>
      <c r="Z151" s="1" t="n">
        <f aca="false">P151+Y151-(W151/POWER(1+Assumptions!$B$2,C151))</f>
        <v>68773.1899936703</v>
      </c>
      <c r="AA151" s="0" t="n">
        <f aca="false">P151*Assumptions!$B$7</f>
        <v>5393.95</v>
      </c>
      <c r="AB151" s="0" t="n">
        <f aca="false">P151-AA151</f>
        <v>48545.55</v>
      </c>
      <c r="AC151" s="1" t="n">
        <f aca="false">PMT(Assumptions!$B$5,Assumptions!$B$6,-AB151)</f>
        <v>961.031051569004</v>
      </c>
      <c r="AD151" s="0" t="n">
        <f aca="false">C151*12</f>
        <v>120</v>
      </c>
      <c r="AE151" s="0" t="n">
        <f aca="false">MIN(Assumptions!$B$6,AD151)</f>
        <v>60</v>
      </c>
      <c r="AF151" s="0" t="n">
        <f aca="false">IF(AD151&gt;=Assumptions!$B$6,0,-PV(Assumptions!$B$5,Assumptions!$B$6-AD151,AC151))</f>
        <v>0</v>
      </c>
      <c r="AG151" s="1" t="n">
        <f aca="false">AA151+(-PV(Assumptions!$B$3,AE151,AC151))+Y151-((W151-AF151)/POWER(1+Assumptions!$B$2,C151))</f>
        <v>71526.1329812157</v>
      </c>
      <c r="AH151" s="0" t="n">
        <f aca="false">H151/12</f>
        <v>3</v>
      </c>
      <c r="AI151" s="0" t="n">
        <f aca="false">MAX(0,Assumptions!$B$10-Assumptions!$B$24)*Assumptions!$B$25</f>
        <v>0</v>
      </c>
      <c r="AJ151" s="1" t="n">
        <f aca="false">F151+Assumptions!$B$27+(-PV(Assumptions!$B$3,H151-1,G151))</f>
        <v>20006.3894152067</v>
      </c>
      <c r="AK151" s="0" t="n">
        <f aca="false">CEILING(C151/AH151,1)</f>
        <v>4</v>
      </c>
      <c r="AL151" s="0" t="n">
        <f aca="false">(1+Assumptions!$B$26)/POWER(1+Assumptions!$B$2,AH151)</f>
        <v>0.906135810905202</v>
      </c>
      <c r="AM151" s="0" t="n">
        <f aca="false">IF(ABS(1-AL151)&lt;0.000000000001,AK151,(1-POWER(AL151,AK151))/(1-AL151))</f>
        <v>3.47122982028551</v>
      </c>
      <c r="AN151" s="0" t="n">
        <f aca="false">1/POWER(1+Assumptions!$B$2,AH151)</f>
        <v>0.871284433562695</v>
      </c>
      <c r="AO151" s="0" t="n">
        <f aca="false">IF(ABS(1-AN151)&lt;0.000000000001,AK151,AN151*(1-POWER(AN151,AK151))/(1-AN151))</f>
        <v>2.86813319209759</v>
      </c>
      <c r="AP151" s="1" t="n">
        <f aca="false">AJ151*AM151+Assumptions!$B$28*AO151+(-PV(Assumptions!$B$2,C151,R151+T151+AI151))</f>
        <v>89891.3910866813</v>
      </c>
      <c r="AQ151" s="0" t="n">
        <f aca="false">N151*(1+Assumptions!$B$8)</f>
        <v>26234.355</v>
      </c>
      <c r="AR151" s="1" t="n">
        <f aca="false">PMT(Assumptions!$B$5,Assumptions!$B$29,-AQ151)</f>
        <v>809.920778333137</v>
      </c>
      <c r="AS151" s="0" t="n">
        <f aca="false">MAX(0,AD151-H151)</f>
        <v>84</v>
      </c>
      <c r="AT151" s="0" t="n">
        <f aca="false">MIN(Assumptions!$B$29,AS151)</f>
        <v>36</v>
      </c>
      <c r="AU151" s="0" t="n">
        <f aca="false">IF(AS151&gt;=Assumptions!$B$29,0,-PV(Assumptions!$B$5,Assumptions!$B$29-AS151,AR151))</f>
        <v>0</v>
      </c>
      <c r="AV151" s="1" t="n">
        <f aca="false">(-PV(Assumptions!$B$3,AT151,AR151))/POWER(1+Assumptions!$B$2,AH151)</f>
        <v>23651.3658591882</v>
      </c>
      <c r="AW151" s="1" t="n">
        <f aca="false">-PV(Assumptions!$B$2,AH151,T151+AI151)</f>
        <v>5318.41766002654</v>
      </c>
      <c r="AX151" s="1" t="n">
        <f aca="false">(-PV(Assumptions!$B$2,C151,S151))-(-PV(Assumptions!$B$2,AH151,S151))</f>
        <v>8919.48888629116</v>
      </c>
      <c r="AY151" s="1" t="n">
        <f aca="false">AJ151+AW151+AX151+(-PV(Assumptions!$B$2,C151,R151))+X151-(W151/POWER(1+Assumptions!$B$2,C151))</f>
        <v>35365.8961909188</v>
      </c>
      <c r="AZ151" s="1" t="n">
        <f aca="false">AY151+AV151+(AU151/POWER(1+Assumptions!$B$2,C151))</f>
        <v>59017.262050107</v>
      </c>
      <c r="BA151" s="0" t="n">
        <f aca="false">AQ151/POWER(1+Assumptions!$B$2,AH151)</f>
        <v>22857.5851360576</v>
      </c>
      <c r="BB151" s="1" t="n">
        <f aca="false">AY151+BA151</f>
        <v>58223.4813269764</v>
      </c>
      <c r="BC151" s="1" t="n">
        <f aca="false">AJ151+Assumptions!$B$28/POWER(1+Assumptions!$B$2,AH151)+(-PV(Assumptions!$B$2,AH151,R151+T151+AI151))</f>
        <v>27099.6486632024</v>
      </c>
      <c r="BD151" s="1" t="n">
        <f aca="false">MIN(Z151,AG151,AZ151)</f>
        <v>59017.262050107</v>
      </c>
      <c r="BE151" s="0" t="str">
        <f aca="false">IF(BD151=Z151,"Cash",IF(BD151=AG151,"Loan","Lease then buy out"))</f>
        <v>Lease then buy out</v>
      </c>
    </row>
    <row r="152" customFormat="false" ht="15" hidden="false" customHeight="false" outlineLevel="0" collapsed="false">
      <c r="A152" s="0" t="s">
        <v>41</v>
      </c>
      <c r="B152" s="0" t="s">
        <v>42</v>
      </c>
      <c r="C152" s="0" t="n">
        <v>10</v>
      </c>
      <c r="D152" s="0" t="n">
        <v>1</v>
      </c>
      <c r="E152" s="0" t="n">
        <v>41400</v>
      </c>
      <c r="F152" s="0" t="n">
        <v>1500</v>
      </c>
      <c r="G152" s="0" t="n">
        <v>561.11</v>
      </c>
      <c r="H152" s="0" t="n">
        <v>36</v>
      </c>
      <c r="I152" s="0" t="n">
        <v>94</v>
      </c>
      <c r="J152" s="0" t="n">
        <v>9644</v>
      </c>
      <c r="K152" s="0" t="s">
        <v>35</v>
      </c>
      <c r="L152" s="0" t="n">
        <v>132.8</v>
      </c>
      <c r="M152" s="0" t="n">
        <f aca="false">MAX(Assumptions!$B$33,Assumptions!$B$30-Assumptions!$B$31*(H152-36)-IF(D152=1,Assumptions!$B$32,0))</f>
        <v>0.49</v>
      </c>
      <c r="N152" s="0" t="n">
        <f aca="false">E152*M152</f>
        <v>20286</v>
      </c>
      <c r="O152" s="0" t="n">
        <f aca="false">1-POWER(J152/E152,0.1)</f>
        <v>0.135578249435814</v>
      </c>
      <c r="P152" s="0" t="n">
        <f aca="false">E152*(1+Assumptions!$B$8)+Assumptions!$B$9</f>
        <v>43870</v>
      </c>
      <c r="Q152" s="0" t="n">
        <f aca="false">IF(D152=1,Assumptions!$B$14*33.7,Assumptions!$B$13)</f>
        <v>5.729</v>
      </c>
      <c r="R152" s="0" t="n">
        <f aca="false">(Assumptions!$B$10/I152)*Q152</f>
        <v>609.468085106383</v>
      </c>
      <c r="S152" s="0" t="n">
        <f aca="false">Assumptions!$B$15+Assumptions!$B$17</f>
        <v>1750</v>
      </c>
      <c r="T152" s="0" t="n">
        <f aca="false">Assumptions!$B$15*(1+Assumptions!$B$16)+Assumptions!$B$17</f>
        <v>1942</v>
      </c>
      <c r="U152" s="0" t="n">
        <f aca="false">IF(OR(C152&gt;Assumptions!$B$11,Assumptions!$B$10*C152&gt;Assumptions!$B$12),1,0)</f>
        <v>0</v>
      </c>
      <c r="V152" s="0" t="n">
        <f aca="false">MAX(0.6,1-Assumptions!$B$22*MAX(0,(Assumptions!$B$10-10000)*C152)/10000)</f>
        <v>1</v>
      </c>
      <c r="W152" s="0" t="n">
        <f aca="false">IF(U152=1,Assumptions!$B$23,MAX(Assumptions!$B$23,E152*POWER(1-O152,C152)*V152))</f>
        <v>9644</v>
      </c>
      <c r="X152" s="0" t="n">
        <f aca="true">SUMPRODUCT((ROW(INDIRECT("1:"&amp;C152))&gt;Assumptions!$B$20)*Assumptions!$B$18*POWER(Assumptions!$B$19,ROW(INDIRECT("1:"&amp;C152))-Assumptions!$B$20-1)*IF(ROW(INDIRECT("1:"&amp;C152))&gt;Assumptions!$B$11,Assumptions!$B$21,1)/POWER(1+Assumptions!$B$2,ROW(INDIRECT("1:"&amp;C152))))</f>
        <v>7070.12417022456</v>
      </c>
      <c r="Y152" s="1" t="n">
        <f aca="false">-PV(Assumptions!$B$2,C152,R152+S152)+X152</f>
        <v>25557.6888438948</v>
      </c>
      <c r="Z152" s="1" t="n">
        <f aca="false">P152+Y152-(W152/POWER(1+Assumptions!$B$2,C152))</f>
        <v>63335.2611314799</v>
      </c>
      <c r="AA152" s="0" t="n">
        <f aca="false">P152*Assumptions!$B$7</f>
        <v>4387</v>
      </c>
      <c r="AB152" s="0" t="n">
        <f aca="false">P152-AA152</f>
        <v>39483</v>
      </c>
      <c r="AC152" s="1" t="n">
        <f aca="false">PMT(Assumptions!$B$5,Assumptions!$B$6,-AB152)</f>
        <v>781.62445392212</v>
      </c>
      <c r="AD152" s="0" t="n">
        <f aca="false">C152*12</f>
        <v>120</v>
      </c>
      <c r="AE152" s="0" t="n">
        <f aca="false">MIN(Assumptions!$B$6,AD152)</f>
        <v>60</v>
      </c>
      <c r="AF152" s="0" t="n">
        <f aca="false">IF(AD152&gt;=Assumptions!$B$6,0,-PV(Assumptions!$B$5,Assumptions!$B$6-AD152,AC152))</f>
        <v>0</v>
      </c>
      <c r="AG152" s="1" t="n">
        <f aca="false">AA152+(-PV(Assumptions!$B$3,AE152,AC152))+Y152-((W152-AF152)/POWER(1+Assumptions!$B$2,C152))</f>
        <v>65574.2809381821</v>
      </c>
      <c r="AH152" s="0" t="n">
        <f aca="false">H152/12</f>
        <v>3</v>
      </c>
      <c r="AI152" s="0" t="n">
        <f aca="false">MAX(0,Assumptions!$B$10-Assumptions!$B$24)*Assumptions!$B$25</f>
        <v>0</v>
      </c>
      <c r="AJ152" s="1" t="n">
        <f aca="false">F152+Assumptions!$B$27+(-PV(Assumptions!$B$3,H152-1,G152))</f>
        <v>20518.7775533763</v>
      </c>
      <c r="AK152" s="0" t="n">
        <f aca="false">CEILING(C152/AH152,1)</f>
        <v>4</v>
      </c>
      <c r="AL152" s="0" t="n">
        <f aca="false">(1+Assumptions!$B$26)/POWER(1+Assumptions!$B$2,AH152)</f>
        <v>0.906135810905202</v>
      </c>
      <c r="AM152" s="0" t="n">
        <f aca="false">IF(ABS(1-AL152)&lt;0.000000000001,AK152,(1-POWER(AL152,AK152))/(1-AL152))</f>
        <v>3.47122982028551</v>
      </c>
      <c r="AN152" s="0" t="n">
        <f aca="false">1/POWER(1+Assumptions!$B$2,AH152)</f>
        <v>0.871284433562695</v>
      </c>
      <c r="AO152" s="0" t="n">
        <f aca="false">IF(ABS(1-AN152)&lt;0.000000000001,AK152,AN152*(1-POWER(AN152,AK152))/(1-AN152))</f>
        <v>2.86813319209759</v>
      </c>
      <c r="AP152" s="1" t="n">
        <f aca="false">AJ152*AM152+Assumptions!$B$28*AO152+(-PV(Assumptions!$B$2,C152,R152+T152+AI152))</f>
        <v>92364.622603732</v>
      </c>
      <c r="AQ152" s="0" t="n">
        <f aca="false">N152*(1+Assumptions!$B$8)</f>
        <v>21300.3</v>
      </c>
      <c r="AR152" s="1" t="n">
        <f aca="false">PMT(Assumptions!$B$5,Assumptions!$B$29,-AQ152)</f>
        <v>657.594042419923</v>
      </c>
      <c r="AS152" s="0" t="n">
        <f aca="false">MAX(0,AD152-H152)</f>
        <v>84</v>
      </c>
      <c r="AT152" s="0" t="n">
        <f aca="false">MIN(Assumptions!$B$29,AS152)</f>
        <v>36</v>
      </c>
      <c r="AU152" s="0" t="n">
        <f aca="false">IF(AS152&gt;=Assumptions!$B$29,0,-PV(Assumptions!$B$5,Assumptions!$B$29-AS152,AR152))</f>
        <v>0</v>
      </c>
      <c r="AV152" s="1" t="n">
        <f aca="false">(-PV(Assumptions!$B$3,AT152,AR152))/POWER(1+Assumptions!$B$2,AH152)</f>
        <v>19203.1093659618</v>
      </c>
      <c r="AW152" s="1" t="n">
        <f aca="false">-PV(Assumptions!$B$2,AH152,T152+AI152)</f>
        <v>5318.41766002654</v>
      </c>
      <c r="AX152" s="1" t="n">
        <f aca="false">(-PV(Assumptions!$B$2,C152,S152))-(-PV(Assumptions!$B$2,AH152,S152))</f>
        <v>8919.48888629116</v>
      </c>
      <c r="AY152" s="1" t="n">
        <f aca="false">AJ152+AW152+AX152+(-PV(Assumptions!$B$2,C152,R152))+X152-(W152/POWER(1+Assumptions!$B$2,C152))</f>
        <v>40509.855466898</v>
      </c>
      <c r="AZ152" s="1" t="n">
        <f aca="false">AY152+AV152+(AU152/POWER(1+Assumptions!$B$2,C152))</f>
        <v>59712.9648328598</v>
      </c>
      <c r="BA152" s="0" t="n">
        <f aca="false">AQ152/POWER(1+Assumptions!$B$2,AH152)</f>
        <v>18558.6198202155</v>
      </c>
      <c r="BB152" s="1" t="n">
        <f aca="false">AY152+BA152</f>
        <v>59068.4752871135</v>
      </c>
      <c r="BC152" s="1" t="n">
        <f aca="false">AJ152+Assumptions!$B$28/POWER(1+Assumptions!$B$2,AH152)+(-PV(Assumptions!$B$2,AH152,R152+T152+AI152))</f>
        <v>27854.8160038477</v>
      </c>
      <c r="BD152" s="1" t="n">
        <f aca="false">MIN(Z152,AG152,AZ152)</f>
        <v>59712.9648328598</v>
      </c>
      <c r="BE152" s="0" t="str">
        <f aca="false">IF(BD152=Z152,"Cash",IF(BD152=AG152,"Loan","Lease then buy out"))</f>
        <v>Lease then buy out</v>
      </c>
    </row>
    <row r="153" customFormat="false" ht="15" hidden="false" customHeight="false" outlineLevel="0" collapsed="false">
      <c r="A153" s="0" t="s">
        <v>43</v>
      </c>
      <c r="B153" s="0" t="s">
        <v>44</v>
      </c>
      <c r="C153" s="0" t="n">
        <v>10</v>
      </c>
      <c r="D153" s="0" t="n">
        <v>0</v>
      </c>
      <c r="E153" s="0" t="n">
        <v>23945</v>
      </c>
      <c r="F153" s="0" t="n">
        <v>2787</v>
      </c>
      <c r="G153" s="0" t="n">
        <v>234</v>
      </c>
      <c r="H153" s="0" t="n">
        <v>36</v>
      </c>
      <c r="I153" s="0" t="n">
        <v>34</v>
      </c>
      <c r="J153" s="0" t="n">
        <v>7980</v>
      </c>
      <c r="K153" s="0" t="s">
        <v>35</v>
      </c>
      <c r="L153" s="0" t="n">
        <v>149.8</v>
      </c>
      <c r="M153" s="0" t="n">
        <f aca="false">MAX(Assumptions!$B$33,Assumptions!$B$30-Assumptions!$B$31*(H153-36)-IF(D153=1,Assumptions!$B$32,0))</f>
        <v>0.57</v>
      </c>
      <c r="N153" s="0" t="n">
        <f aca="false">E153*M153</f>
        <v>13648.65</v>
      </c>
      <c r="O153" s="0" t="n">
        <f aca="false">1-POWER(J153/E153,0.1)</f>
        <v>0.104060250592732</v>
      </c>
      <c r="P153" s="0" t="n">
        <f aca="false">E153*(1+Assumptions!$B$8)+Assumptions!$B$9</f>
        <v>25542.25</v>
      </c>
      <c r="Q153" s="0" t="n">
        <f aca="false">IF(D153=1,Assumptions!$B$14*33.7,Assumptions!$B$13)</f>
        <v>3.1</v>
      </c>
      <c r="R153" s="0" t="n">
        <f aca="false">(Assumptions!$B$10/I153)*Q153</f>
        <v>911.764705882353</v>
      </c>
      <c r="S153" s="0" t="n">
        <f aca="false">Assumptions!$B$15+Assumptions!$B$17</f>
        <v>1750</v>
      </c>
      <c r="T153" s="0" t="n">
        <f aca="false">Assumptions!$B$15*(1+Assumptions!$B$16)+Assumptions!$B$17</f>
        <v>1942</v>
      </c>
      <c r="U153" s="0" t="n">
        <f aca="false">IF(OR(C153&gt;Assumptions!$B$11,Assumptions!$B$10*C153&gt;Assumptions!$B$12),1,0)</f>
        <v>0</v>
      </c>
      <c r="V153" s="0" t="n">
        <f aca="false">MAX(0.6,1-Assumptions!$B$22*MAX(0,(Assumptions!$B$10-10000)*C153)/10000)</f>
        <v>1</v>
      </c>
      <c r="W153" s="0" t="n">
        <f aca="false">IF(U153=1,Assumptions!$B$23,MAX(Assumptions!$B$23,E153*POWER(1-O153,C153)*V153))</f>
        <v>7980.00000000001</v>
      </c>
      <c r="X153" s="0" t="n">
        <f aca="true">SUMPRODUCT((ROW(INDIRECT("1:"&amp;C153))&gt;Assumptions!$B$20)*Assumptions!$B$18*POWER(Assumptions!$B$19,ROW(INDIRECT("1:"&amp;C153))-Assumptions!$B$20-1)*IF(ROW(INDIRECT("1:"&amp;C153))&gt;Assumptions!$B$11,Assumptions!$B$21,1)/POWER(1+Assumptions!$B$2,ROW(INDIRECT("1:"&amp;C153))))</f>
        <v>7070.12417022456</v>
      </c>
      <c r="Y153" s="1" t="n">
        <f aca="false">-PV(Assumptions!$B$2,C153,R153+S153)+X153</f>
        <v>27926.3279293334</v>
      </c>
      <c r="Z153" s="1" t="n">
        <f aca="false">P153+Y153-(W153/POWER(1+Assumptions!$B$2,C153))</f>
        <v>48427.353007613</v>
      </c>
      <c r="AA153" s="0" t="n">
        <f aca="false">P153*Assumptions!$B$7</f>
        <v>2554.225</v>
      </c>
      <c r="AB153" s="0" t="n">
        <f aca="false">P153-AA153</f>
        <v>22988.025</v>
      </c>
      <c r="AC153" s="1" t="n">
        <f aca="false">PMT(Assumptions!$B$5,Assumptions!$B$6,-AB153)</f>
        <v>455.081996995493</v>
      </c>
      <c r="AD153" s="0" t="n">
        <f aca="false">C153*12</f>
        <v>120</v>
      </c>
      <c r="AE153" s="0" t="n">
        <f aca="false">MIN(Assumptions!$B$6,AD153)</f>
        <v>60</v>
      </c>
      <c r="AF153" s="0" t="n">
        <f aca="false">IF(AD153&gt;=Assumptions!$B$6,0,-PV(Assumptions!$B$5,Assumptions!$B$6-AD153,AC153))</f>
        <v>0</v>
      </c>
      <c r="AG153" s="1" t="n">
        <f aca="false">AA153+(-PV(Assumptions!$B$3,AE153,AC153))+Y153-((W153-AF153)/POWER(1+Assumptions!$B$2,C153))</f>
        <v>49730.9683177962</v>
      </c>
      <c r="AH153" s="0" t="n">
        <f aca="false">H153/12</f>
        <v>3</v>
      </c>
      <c r="AI153" s="0" t="n">
        <f aca="false">MAX(0,Assumptions!$B$10-Assumptions!$B$24)*Assumptions!$B$25</f>
        <v>0</v>
      </c>
      <c r="AJ153" s="1" t="n">
        <f aca="false">F153+Assumptions!$B$27+(-PV(Assumptions!$B$3,H153-1,G153))</f>
        <v>11126.4894895654</v>
      </c>
      <c r="AK153" s="0" t="n">
        <f aca="false">CEILING(C153/AH153,1)</f>
        <v>4</v>
      </c>
      <c r="AL153" s="0" t="n">
        <f aca="false">(1+Assumptions!$B$26)/POWER(1+Assumptions!$B$2,AH153)</f>
        <v>0.906135810905202</v>
      </c>
      <c r="AM153" s="0" t="n">
        <f aca="false">IF(ABS(1-AL153)&lt;0.000000000001,AK153,(1-POWER(AL153,AK153))/(1-AL153))</f>
        <v>3.47122982028551</v>
      </c>
      <c r="AN153" s="0" t="n">
        <f aca="false">1/POWER(1+Assumptions!$B$2,AH153)</f>
        <v>0.871284433562695</v>
      </c>
      <c r="AO153" s="0" t="n">
        <f aca="false">IF(ABS(1-AN153)&lt;0.000000000001,AK153,AN153*(1-POWER(AN153,AK153))/(1-AN153))</f>
        <v>2.86813319209759</v>
      </c>
      <c r="AP153" s="1" t="n">
        <f aca="false">AJ153*AM153+Assumptions!$B$28*AO153+(-PV(Assumptions!$B$2,C153,R153+T153+AI153))</f>
        <v>62130.4712813584</v>
      </c>
      <c r="AQ153" s="0" t="n">
        <f aca="false">N153*(1+Assumptions!$B$8)</f>
        <v>14331.0825</v>
      </c>
      <c r="AR153" s="1" t="n">
        <f aca="false">PMT(Assumptions!$B$5,Assumptions!$B$29,-AQ153)</f>
        <v>442.43670152197</v>
      </c>
      <c r="AS153" s="0" t="n">
        <f aca="false">MAX(0,AD153-H153)</f>
        <v>84</v>
      </c>
      <c r="AT153" s="0" t="n">
        <f aca="false">MIN(Assumptions!$B$29,AS153)</f>
        <v>36</v>
      </c>
      <c r="AU153" s="0" t="n">
        <f aca="false">IF(AS153&gt;=Assumptions!$B$29,0,-PV(Assumptions!$B$5,Assumptions!$B$29-AS153,AR153))</f>
        <v>0</v>
      </c>
      <c r="AV153" s="1" t="n">
        <f aca="false">(-PV(Assumptions!$B$3,AT153,AR153))/POWER(1+Assumptions!$B$2,AH153)</f>
        <v>12920.0689464524</v>
      </c>
      <c r="AW153" s="1" t="n">
        <f aca="false">-PV(Assumptions!$B$2,AH153,T153+AI153)</f>
        <v>5318.41766002654</v>
      </c>
      <c r="AX153" s="1" t="n">
        <f aca="false">(-PV(Assumptions!$B$2,C153,S153))-(-PV(Assumptions!$B$2,AH153,S153))</f>
        <v>8919.48888629116</v>
      </c>
      <c r="AY153" s="1" t="n">
        <f aca="false">AJ153+AW153+AX153+(-PV(Assumptions!$B$2,C153,R153))+X153-(W153/POWER(1+Assumptions!$B$2,C153))</f>
        <v>34537.4092792202</v>
      </c>
      <c r="AZ153" s="1" t="n">
        <f aca="false">AY153+AV153+(AU153/POWER(1+Assumptions!$B$2,C153))</f>
        <v>47457.4782256726</v>
      </c>
      <c r="BA153" s="0" t="n">
        <f aca="false">AQ153/POWER(1+Assumptions!$B$2,AH153)</f>
        <v>12486.4490983527</v>
      </c>
      <c r="BB153" s="1" t="n">
        <f aca="false">AY153+BA153</f>
        <v>47023.8583775729</v>
      </c>
      <c r="BC153" s="1" t="n">
        <f aca="false">AJ153+Assumptions!$B$28/POWER(1+Assumptions!$B$2,AH153)+(-PV(Assumptions!$B$2,AH153,R153+T153+AI153))</f>
        <v>19290.4062544041</v>
      </c>
      <c r="BD153" s="1" t="n">
        <f aca="false">MIN(Z153,AG153,AZ153)</f>
        <v>47457.4782256726</v>
      </c>
      <c r="BE153" s="0" t="str">
        <f aca="false">IF(BD153=Z153,"Cash",IF(BD153=AG153,"Loan","Lease then buy out"))</f>
        <v>Lease then buy out</v>
      </c>
    </row>
    <row r="154" customFormat="false" ht="15" hidden="false" customHeight="false" outlineLevel="0" collapsed="false">
      <c r="A154" s="0" t="s">
        <v>46</v>
      </c>
      <c r="B154" s="0" t="s">
        <v>47</v>
      </c>
      <c r="C154" s="0" t="n">
        <v>10</v>
      </c>
      <c r="D154" s="0" t="n">
        <v>0</v>
      </c>
      <c r="E154" s="0" t="n">
        <v>26239</v>
      </c>
      <c r="F154" s="0" t="n">
        <v>2840</v>
      </c>
      <c r="G154" s="0" t="n">
        <v>340</v>
      </c>
      <c r="H154" s="0" t="n">
        <v>36</v>
      </c>
      <c r="I154" s="0" t="n">
        <v>27</v>
      </c>
      <c r="J154" s="0" t="n">
        <v>7779</v>
      </c>
      <c r="K154" s="0" t="s">
        <v>35</v>
      </c>
      <c r="L154" s="0" t="n">
        <v>162</v>
      </c>
      <c r="M154" s="0" t="n">
        <f aca="false">MAX(Assumptions!$B$33,Assumptions!$B$30-Assumptions!$B$31*(H154-36)-IF(D154=1,Assumptions!$B$32,0))</f>
        <v>0.57</v>
      </c>
      <c r="N154" s="0" t="n">
        <f aca="false">E154*M154</f>
        <v>14956.23</v>
      </c>
      <c r="O154" s="0" t="n">
        <f aca="false">1-POWER(J154/E154,0.1)</f>
        <v>0.114481478757063</v>
      </c>
      <c r="P154" s="0" t="n">
        <f aca="false">E154*(1+Assumptions!$B$8)+Assumptions!$B$9</f>
        <v>27950.95</v>
      </c>
      <c r="Q154" s="0" t="n">
        <f aca="false">IF(D154=1,Assumptions!$B$14*33.7,Assumptions!$B$13)</f>
        <v>3.1</v>
      </c>
      <c r="R154" s="0" t="n">
        <f aca="false">(Assumptions!$B$10/I154)*Q154</f>
        <v>1148.14814814815</v>
      </c>
      <c r="S154" s="0" t="n">
        <f aca="false">Assumptions!$B$15+Assumptions!$B$17</f>
        <v>1750</v>
      </c>
      <c r="T154" s="0" t="n">
        <f aca="false">Assumptions!$B$15*(1+Assumptions!$B$16)+Assumptions!$B$17</f>
        <v>1942</v>
      </c>
      <c r="U154" s="0" t="n">
        <f aca="false">IF(OR(C154&gt;Assumptions!$B$11,Assumptions!$B$10*C154&gt;Assumptions!$B$12),1,0)</f>
        <v>0</v>
      </c>
      <c r="V154" s="0" t="n">
        <f aca="false">MAX(0.6,1-Assumptions!$B$22*MAX(0,(Assumptions!$B$10-10000)*C154)/10000)</f>
        <v>1</v>
      </c>
      <c r="W154" s="0" t="n">
        <f aca="false">IF(U154=1,Assumptions!$B$23,MAX(Assumptions!$B$23,E154*POWER(1-O154,C154)*V154))</f>
        <v>7779</v>
      </c>
      <c r="X154" s="0" t="n">
        <f aca="true">SUMPRODUCT((ROW(INDIRECT("1:"&amp;C154))&gt;Assumptions!$B$20)*Assumptions!$B$18*POWER(Assumptions!$B$19,ROW(INDIRECT("1:"&amp;C154))-Assumptions!$B$20-1)*IF(ROW(INDIRECT("1:"&amp;C154))&gt;Assumptions!$B$11,Assumptions!$B$21,1)/POWER(1+Assumptions!$B$2,ROW(INDIRECT("1:"&amp;C154))))</f>
        <v>7070.12417022456</v>
      </c>
      <c r="Y154" s="1" t="n">
        <f aca="false">-PV(Assumptions!$B$2,C154,R154+S154)+X154</f>
        <v>29778.5056316974</v>
      </c>
      <c r="Z154" s="1" t="n">
        <f aca="false">P154+Y154-(W154/POWER(1+Assumptions!$B$2,C154))</f>
        <v>52815.2089316896</v>
      </c>
      <c r="AA154" s="0" t="n">
        <f aca="false">P154*Assumptions!$B$7</f>
        <v>2795.095</v>
      </c>
      <c r="AB154" s="0" t="n">
        <f aca="false">P154-AA154</f>
        <v>25155.855</v>
      </c>
      <c r="AC154" s="1" t="n">
        <f aca="false">PMT(Assumptions!$B$5,Assumptions!$B$6,-AB154)</f>
        <v>497.997402105186</v>
      </c>
      <c r="AD154" s="0" t="n">
        <f aca="false">C154*12</f>
        <v>120</v>
      </c>
      <c r="AE154" s="0" t="n">
        <f aca="false">MIN(Assumptions!$B$6,AD154)</f>
        <v>60</v>
      </c>
      <c r="AF154" s="0" t="n">
        <f aca="false">IF(AD154&gt;=Assumptions!$B$6,0,-PV(Assumptions!$B$5,Assumptions!$B$6-AD154,AC154))</f>
        <v>0</v>
      </c>
      <c r="AG154" s="1" t="n">
        <f aca="false">AA154+(-PV(Assumptions!$B$3,AE154,AC154))+Y154-((W154-AF154)/POWER(1+Assumptions!$B$2,C154))</f>
        <v>54241.7585251736</v>
      </c>
      <c r="AH154" s="0" t="n">
        <f aca="false">H154/12</f>
        <v>3</v>
      </c>
      <c r="AI154" s="0" t="n">
        <f aca="false">MAX(0,Assumptions!$B$10-Assumptions!$B$24)*Assumptions!$B$25</f>
        <v>0</v>
      </c>
      <c r="AJ154" s="1" t="n">
        <f aca="false">F154+Assumptions!$B$27+(-PV(Assumptions!$B$3,H154-1,G154))</f>
        <v>14640.1129335566</v>
      </c>
      <c r="AK154" s="0" t="n">
        <f aca="false">CEILING(C154/AH154,1)</f>
        <v>4</v>
      </c>
      <c r="AL154" s="0" t="n">
        <f aca="false">(1+Assumptions!$B$26)/POWER(1+Assumptions!$B$2,AH154)</f>
        <v>0.906135810905202</v>
      </c>
      <c r="AM154" s="0" t="n">
        <f aca="false">IF(ABS(1-AL154)&lt;0.000000000001,AK154,(1-POWER(AL154,AK154))/(1-AL154))</f>
        <v>3.47122982028551</v>
      </c>
      <c r="AN154" s="0" t="n">
        <f aca="false">1/POWER(1+Assumptions!$B$2,AH154)</f>
        <v>0.871284433562695</v>
      </c>
      <c r="AO154" s="0" t="n">
        <f aca="false">IF(ABS(1-AN154)&lt;0.000000000001,AK154,AN154*(1-POWER(AN154,AK154))/(1-AN154))</f>
        <v>2.86813319209759</v>
      </c>
      <c r="AP154" s="1" t="n">
        <f aca="false">AJ154*AM154+Assumptions!$B$28*AO154+(-PV(Assumptions!$B$2,C154,R154+T154+AI154))</f>
        <v>76179.2434597589</v>
      </c>
      <c r="AQ154" s="0" t="n">
        <f aca="false">N154*(1+Assumptions!$B$8)</f>
        <v>15704.0415</v>
      </c>
      <c r="AR154" s="1" t="n">
        <f aca="false">PMT(Assumptions!$B$5,Assumptions!$B$29,-AQ154)</f>
        <v>484.823412455</v>
      </c>
      <c r="AS154" s="0" t="n">
        <f aca="false">MAX(0,AD154-H154)</f>
        <v>84</v>
      </c>
      <c r="AT154" s="0" t="n">
        <f aca="false">MIN(Assumptions!$B$29,AS154)</f>
        <v>36</v>
      </c>
      <c r="AU154" s="0" t="n">
        <f aca="false">IF(AS154&gt;=Assumptions!$B$29,0,-PV(Assumptions!$B$5,Assumptions!$B$29-AS154,AR154))</f>
        <v>0</v>
      </c>
      <c r="AV154" s="1" t="n">
        <f aca="false">(-PV(Assumptions!$B$3,AT154,AR154))/POWER(1+Assumptions!$B$2,AH154)</f>
        <v>14157.8487820407</v>
      </c>
      <c r="AW154" s="1" t="n">
        <f aca="false">-PV(Assumptions!$B$2,AH154,T154+AI154)</f>
        <v>5318.41766002654</v>
      </c>
      <c r="AX154" s="1" t="n">
        <f aca="false">(-PV(Assumptions!$B$2,C154,S154))-(-PV(Assumptions!$B$2,AH154,S154))</f>
        <v>8919.48888629116</v>
      </c>
      <c r="AY154" s="1" t="n">
        <f aca="false">AJ154+AW154+AX154+(-PV(Assumptions!$B$2,C154,R154))+X154-(W154/POWER(1+Assumptions!$B$2,C154))</f>
        <v>40030.1886472879</v>
      </c>
      <c r="AZ154" s="1" t="n">
        <f aca="false">AY154+AV154+(AU154/POWER(1+Assumptions!$B$2,C154))</f>
        <v>54188.0374293287</v>
      </c>
      <c r="BA154" s="0" t="n">
        <f aca="false">AQ154/POWER(1+Assumptions!$B$2,AH154)</f>
        <v>13682.6869029725</v>
      </c>
      <c r="BB154" s="1" t="n">
        <f aca="false">AY154+BA154</f>
        <v>53712.8755502605</v>
      </c>
      <c r="BC154" s="1" t="n">
        <f aca="false">AJ154+Assumptions!$B$28/POWER(1+Assumptions!$B$2,AH154)+(-PV(Assumptions!$B$2,AH154,R154+T154+AI154))</f>
        <v>23451.3962657919</v>
      </c>
      <c r="BD154" s="1" t="n">
        <f aca="false">MIN(Z154,AG154,AZ154)</f>
        <v>52815.2089316896</v>
      </c>
      <c r="BE154" s="0" t="str">
        <f aca="false">IF(BD154=Z154,"Cash",IF(BD154=AG154,"Loan","Lease then buy out"))</f>
        <v>Cash</v>
      </c>
    </row>
    <row r="155" customFormat="false" ht="15" hidden="false" customHeight="false" outlineLevel="0" collapsed="false">
      <c r="A155" s="0" t="s">
        <v>48</v>
      </c>
      <c r="B155" s="0" t="s">
        <v>49</v>
      </c>
      <c r="C155" s="0" t="n">
        <v>10</v>
      </c>
      <c r="D155" s="0" t="n">
        <v>0</v>
      </c>
      <c r="E155" s="0" t="n">
        <v>30658</v>
      </c>
      <c r="F155" s="0" t="n">
        <v>2865</v>
      </c>
      <c r="G155" s="0" t="n">
        <v>365</v>
      </c>
      <c r="H155" s="0" t="n">
        <v>36</v>
      </c>
      <c r="I155" s="0" t="n">
        <v>30</v>
      </c>
      <c r="J155" s="0" t="n">
        <v>9758</v>
      </c>
      <c r="K155" s="0" t="s">
        <v>35</v>
      </c>
      <c r="L155" s="0" t="n">
        <v>174.1</v>
      </c>
      <c r="M155" s="0" t="n">
        <f aca="false">MAX(Assumptions!$B$33,Assumptions!$B$30-Assumptions!$B$31*(H155-36)-IF(D155=1,Assumptions!$B$32,0))</f>
        <v>0.57</v>
      </c>
      <c r="N155" s="0" t="n">
        <f aca="false">E155*M155</f>
        <v>17475.06</v>
      </c>
      <c r="O155" s="0" t="n">
        <f aca="false">1-POWER(J155/E155,0.1)</f>
        <v>0.108170776168246</v>
      </c>
      <c r="P155" s="0" t="n">
        <f aca="false">E155*(1+Assumptions!$B$8)+Assumptions!$B$9</f>
        <v>32590.9</v>
      </c>
      <c r="Q155" s="0" t="n">
        <f aca="false">IF(D155=1,Assumptions!$B$14*33.7,Assumptions!$B$13)</f>
        <v>3.1</v>
      </c>
      <c r="R155" s="0" t="n">
        <f aca="false">(Assumptions!$B$10/I155)*Q155</f>
        <v>1033.33333333333</v>
      </c>
      <c r="S155" s="0" t="n">
        <f aca="false">Assumptions!$B$15+Assumptions!$B$17</f>
        <v>1750</v>
      </c>
      <c r="T155" s="0" t="n">
        <f aca="false">Assumptions!$B$15*(1+Assumptions!$B$16)+Assumptions!$B$17</f>
        <v>1942</v>
      </c>
      <c r="U155" s="0" t="n">
        <f aca="false">IF(OR(C155&gt;Assumptions!$B$11,Assumptions!$B$10*C155&gt;Assumptions!$B$12),1,0)</f>
        <v>0</v>
      </c>
      <c r="V155" s="0" t="n">
        <f aca="false">MAX(0.6,1-Assumptions!$B$22*MAX(0,(Assumptions!$B$10-10000)*C155)/10000)</f>
        <v>1</v>
      </c>
      <c r="W155" s="0" t="n">
        <f aca="false">IF(U155=1,Assumptions!$B$23,MAX(Assumptions!$B$23,E155*POWER(1-O155,C155)*V155))</f>
        <v>9758</v>
      </c>
      <c r="X155" s="0" t="n">
        <f aca="true">SUMPRODUCT((ROW(INDIRECT("1:"&amp;C155))&gt;Assumptions!$B$20)*Assumptions!$B$18*POWER(Assumptions!$B$19,ROW(INDIRECT("1:"&amp;C155))-Assumptions!$B$20-1)*IF(ROW(INDIRECT("1:"&amp;C155))&gt;Assumptions!$B$11,Assumptions!$B$21,1)/POWER(1+Assumptions!$B$2,ROW(INDIRECT("1:"&amp;C155))))</f>
        <v>7070.12417022456</v>
      </c>
      <c r="Y155" s="1" t="n">
        <f aca="false">-PV(Assumptions!$B$2,C155,R155+S155)+X155</f>
        <v>28878.8764619777</v>
      </c>
      <c r="Z155" s="1" t="n">
        <f aca="false">P155+Y155-(W155/POWER(1+Assumptions!$B$2,C155))</f>
        <v>55305.3312506811</v>
      </c>
      <c r="AA155" s="0" t="n">
        <f aca="false">P155*Assumptions!$B$7</f>
        <v>3259.09</v>
      </c>
      <c r="AB155" s="0" t="n">
        <f aca="false">P155-AA155</f>
        <v>29331.81</v>
      </c>
      <c r="AC155" s="1" t="n">
        <f aca="false">PMT(Assumptions!$B$5,Assumptions!$B$6,-AB155)</f>
        <v>580.666615348312</v>
      </c>
      <c r="AD155" s="0" t="n">
        <f aca="false">C155*12</f>
        <v>120</v>
      </c>
      <c r="AE155" s="0" t="n">
        <f aca="false">MIN(Assumptions!$B$6,AD155)</f>
        <v>60</v>
      </c>
      <c r="AF155" s="0" t="n">
        <f aca="false">IF(AD155&gt;=Assumptions!$B$6,0,-PV(Assumptions!$B$5,Assumptions!$B$6-AD155,AC155))</f>
        <v>0</v>
      </c>
      <c r="AG155" s="1" t="n">
        <f aca="false">AA155+(-PV(Assumptions!$B$3,AE155,AC155))+Y155-((W155-AF155)/POWER(1+Assumptions!$B$2,C155))</f>
        <v>56968.6927874545</v>
      </c>
      <c r="AH155" s="0" t="n">
        <f aca="false">H155/12</f>
        <v>3</v>
      </c>
      <c r="AI155" s="0" t="n">
        <f aca="false">MAX(0,Assumptions!$B$10-Assumptions!$B$24)*Assumptions!$B$25</f>
        <v>0</v>
      </c>
      <c r="AJ155" s="1" t="n">
        <f aca="false">F155+Assumptions!$B$27+(-PV(Assumptions!$B$3,H155-1,G155))</f>
        <v>15481.2977080828</v>
      </c>
      <c r="AK155" s="0" t="n">
        <f aca="false">CEILING(C155/AH155,1)</f>
        <v>4</v>
      </c>
      <c r="AL155" s="0" t="n">
        <f aca="false">(1+Assumptions!$B$26)/POWER(1+Assumptions!$B$2,AH155)</f>
        <v>0.906135810905202</v>
      </c>
      <c r="AM155" s="0" t="n">
        <f aca="false">IF(ABS(1-AL155)&lt;0.000000000001,AK155,(1-POWER(AL155,AK155))/(1-AL155))</f>
        <v>3.47122982028551</v>
      </c>
      <c r="AN155" s="0" t="n">
        <f aca="false">1/POWER(1+Assumptions!$B$2,AH155)</f>
        <v>0.871284433562695</v>
      </c>
      <c r="AO155" s="0" t="n">
        <f aca="false">IF(ABS(1-AN155)&lt;0.000000000001,AK155,AN155*(1-POWER(AN155,AK155))/(1-AN155))</f>
        <v>2.86813319209759</v>
      </c>
      <c r="AP155" s="1" t="n">
        <f aca="false">AJ155*AM155+Assumptions!$B$28*AO155+(-PV(Assumptions!$B$2,C155,R155+T155+AI155))</f>
        <v>78199.5599637448</v>
      </c>
      <c r="AQ155" s="0" t="n">
        <f aca="false">N155*(1+Assumptions!$B$8)</f>
        <v>18348.813</v>
      </c>
      <c r="AR155" s="1" t="n">
        <f aca="false">PMT(Assumptions!$B$5,Assumptions!$B$29,-AQ155)</f>
        <v>566.474186479873</v>
      </c>
      <c r="AS155" s="0" t="n">
        <f aca="false">MAX(0,AD155-H155)</f>
        <v>84</v>
      </c>
      <c r="AT155" s="0" t="n">
        <f aca="false">MIN(Assumptions!$B$29,AS155)</f>
        <v>36</v>
      </c>
      <c r="AU155" s="0" t="n">
        <f aca="false">IF(AS155&gt;=Assumptions!$B$29,0,-PV(Assumptions!$B$5,Assumptions!$B$29-AS155,AR155))</f>
        <v>0</v>
      </c>
      <c r="AV155" s="1" t="n">
        <f aca="false">(-PV(Assumptions!$B$3,AT155,AR155))/POWER(1+Assumptions!$B$2,AH155)</f>
        <v>16542.2206623654</v>
      </c>
      <c r="AW155" s="1" t="n">
        <f aca="false">-PV(Assumptions!$B$2,AH155,T155+AI155)</f>
        <v>5318.41766002654</v>
      </c>
      <c r="AX155" s="1" t="n">
        <f aca="false">(-PV(Assumptions!$B$2,C155,S155))-(-PV(Assumptions!$B$2,AH155,S155))</f>
        <v>8919.48888629116</v>
      </c>
      <c r="AY155" s="1" t="n">
        <f aca="false">AJ155+AW155+AX155+(-PV(Assumptions!$B$2,C155,R155))+X155-(W155/POWER(1+Assumptions!$B$2,C155))</f>
        <v>38721.5457408056</v>
      </c>
      <c r="AZ155" s="1" t="n">
        <f aca="false">AY155+AV155+(AU155/POWER(1+Assumptions!$B$2,C155))</f>
        <v>55263.766403171</v>
      </c>
      <c r="BA155" s="0" t="n">
        <f aca="false">AQ155/POWER(1+Assumptions!$B$2,AH155)</f>
        <v>15987.0351412528</v>
      </c>
      <c r="BB155" s="1" t="n">
        <f aca="false">AY155+BA155</f>
        <v>54708.5808820585</v>
      </c>
      <c r="BC155" s="1" t="n">
        <f aca="false">AJ155+Assumptions!$B$28/POWER(1+Assumptions!$B$2,AH155)+(-PV(Assumptions!$B$2,AH155,R155+T155+AI155))</f>
        <v>23978.1458504398</v>
      </c>
      <c r="BD155" s="1" t="n">
        <f aca="false">MIN(Z155,AG155,AZ155)</f>
        <v>55263.766403171</v>
      </c>
      <c r="BE155" s="0" t="str">
        <f aca="false">IF(BD155=Z155,"Cash",IF(BD155=AG155,"Loan","Lease then buy out"))</f>
        <v>Lease then buy out</v>
      </c>
    </row>
    <row r="156" customFormat="false" ht="15" hidden="false" customHeight="false" outlineLevel="0" collapsed="false">
      <c r="A156" s="0" t="s">
        <v>31</v>
      </c>
      <c r="B156" s="0" t="s">
        <v>50</v>
      </c>
      <c r="C156" s="0" t="n">
        <v>10</v>
      </c>
      <c r="D156" s="0" t="n">
        <v>0</v>
      </c>
      <c r="E156" s="0" t="n">
        <v>28977</v>
      </c>
      <c r="F156" s="0" t="n">
        <v>2794</v>
      </c>
      <c r="G156" s="0" t="n">
        <v>294</v>
      </c>
      <c r="H156" s="0" t="n">
        <v>36</v>
      </c>
      <c r="I156" s="0" t="n">
        <v>25.5</v>
      </c>
      <c r="J156" s="0" t="n">
        <v>11499</v>
      </c>
      <c r="K156" s="0" t="s">
        <v>35</v>
      </c>
      <c r="L156" s="0" t="n">
        <v>174.2</v>
      </c>
      <c r="M156" s="0" t="n">
        <f aca="false">MAX(Assumptions!$B$33,Assumptions!$B$30-Assumptions!$B$31*(H156-36)-IF(D156=1,Assumptions!$B$32,0))</f>
        <v>0.57</v>
      </c>
      <c r="N156" s="0" t="n">
        <f aca="false">E156*M156</f>
        <v>16516.89</v>
      </c>
      <c r="O156" s="0" t="n">
        <f aca="false">1-POWER(J156/E156,0.1)</f>
        <v>0.0882817141128345</v>
      </c>
      <c r="P156" s="0" t="n">
        <f aca="false">E156*(1+Assumptions!$B$8)+Assumptions!$B$9</f>
        <v>30825.85</v>
      </c>
      <c r="Q156" s="0" t="n">
        <f aca="false">IF(D156=1,Assumptions!$B$14*33.7,Assumptions!$B$13)</f>
        <v>3.1</v>
      </c>
      <c r="R156" s="0" t="n">
        <f aca="false">(Assumptions!$B$10/I156)*Q156</f>
        <v>1215.6862745098</v>
      </c>
      <c r="S156" s="0" t="n">
        <f aca="false">Assumptions!$B$15+Assumptions!$B$17</f>
        <v>1750</v>
      </c>
      <c r="T156" s="0" t="n">
        <f aca="false">Assumptions!$B$15*(1+Assumptions!$B$16)+Assumptions!$B$17</f>
        <v>1942</v>
      </c>
      <c r="U156" s="0" t="n">
        <f aca="false">IF(OR(C156&gt;Assumptions!$B$11,Assumptions!$B$10*C156&gt;Assumptions!$B$12),1,0)</f>
        <v>0</v>
      </c>
      <c r="V156" s="0" t="n">
        <f aca="false">MAX(0.6,1-Assumptions!$B$22*MAX(0,(Assumptions!$B$10-10000)*C156)/10000)</f>
        <v>1</v>
      </c>
      <c r="W156" s="0" t="n">
        <f aca="false">IF(U156=1,Assumptions!$B$23,MAX(Assumptions!$B$23,E156*POWER(1-O156,C156)*V156))</f>
        <v>11499</v>
      </c>
      <c r="X156" s="0" t="n">
        <f aca="true">SUMPRODUCT((ROW(INDIRECT("1:"&amp;C156))&gt;Assumptions!$B$20)*Assumptions!$B$18*POWER(Assumptions!$B$19,ROW(INDIRECT("1:"&amp;C156))-Assumptions!$B$20-1)*IF(ROW(INDIRECT("1:"&amp;C156))&gt;Assumptions!$B$11,Assumptions!$B$21,1)/POWER(1+Assumptions!$B$2,ROW(INDIRECT("1:"&amp;C156))))</f>
        <v>7070.12417022456</v>
      </c>
      <c r="Y156" s="1" t="n">
        <f aca="false">-PV(Assumptions!$B$2,C156,R156+S156)+X156</f>
        <v>30307.6992609443</v>
      </c>
      <c r="Z156" s="1" t="n">
        <f aca="false">P156+Y156-(W156/POWER(1+Assumptions!$B$2,C156))</f>
        <v>53869.2578605856</v>
      </c>
      <c r="AA156" s="0" t="n">
        <f aca="false">P156*Assumptions!$B$7</f>
        <v>3082.585</v>
      </c>
      <c r="AB156" s="0" t="n">
        <f aca="false">P156-AA156</f>
        <v>27743.265</v>
      </c>
      <c r="AC156" s="1" t="n">
        <f aca="false">PMT(Assumptions!$B$5,Assumptions!$B$6,-AB156)</f>
        <v>549.219014655464</v>
      </c>
      <c r="AD156" s="0" t="n">
        <f aca="false">C156*12</f>
        <v>120</v>
      </c>
      <c r="AE156" s="0" t="n">
        <f aca="false">MIN(Assumptions!$B$6,AD156)</f>
        <v>60</v>
      </c>
      <c r="AF156" s="0" t="n">
        <f aca="false">IF(AD156&gt;=Assumptions!$B$6,0,-PV(Assumptions!$B$5,Assumptions!$B$6-AD156,AC156))</f>
        <v>0</v>
      </c>
      <c r="AG156" s="1" t="n">
        <f aca="false">AA156+(-PV(Assumptions!$B$3,AE156,AC156))+Y156-((W156-AF156)/POWER(1+Assumptions!$B$2,C156))</f>
        <v>55442.5354696221</v>
      </c>
      <c r="AH156" s="0" t="n">
        <f aca="false">H156/12</f>
        <v>3</v>
      </c>
      <c r="AI156" s="0" t="n">
        <f aca="false">MAX(0,Assumptions!$B$10-Assumptions!$B$24)*Assumptions!$B$25</f>
        <v>0</v>
      </c>
      <c r="AJ156" s="1" t="n">
        <f aca="false">F156+Assumptions!$B$27+(-PV(Assumptions!$B$3,H156-1,G156))</f>
        <v>13092.3329484284</v>
      </c>
      <c r="AK156" s="0" t="n">
        <f aca="false">CEILING(C156/AH156,1)</f>
        <v>4</v>
      </c>
      <c r="AL156" s="0" t="n">
        <f aca="false">(1+Assumptions!$B$26)/POWER(1+Assumptions!$B$2,AH156)</f>
        <v>0.906135810905202</v>
      </c>
      <c r="AM156" s="0" t="n">
        <f aca="false">IF(ABS(1-AL156)&lt;0.000000000001,AK156,(1-POWER(AL156,AK156))/(1-AL156))</f>
        <v>3.47122982028551</v>
      </c>
      <c r="AN156" s="0" t="n">
        <f aca="false">1/POWER(1+Assumptions!$B$2,AH156)</f>
        <v>0.871284433562695</v>
      </c>
      <c r="AO156" s="0" t="n">
        <f aca="false">IF(ABS(1-AN156)&lt;0.000000000001,AK156,AN156*(1-POWER(AN156,AK156))/(1-AN156))</f>
        <v>2.86813319209759</v>
      </c>
      <c r="AP156" s="1" t="n">
        <f aca="false">AJ156*AM156+Assumptions!$B$28*AO156+(-PV(Assumptions!$B$2,C156,R156+T156+AI156))</f>
        <v>71335.7370493876</v>
      </c>
      <c r="AQ156" s="0" t="n">
        <f aca="false">N156*(1+Assumptions!$B$8)</f>
        <v>17342.7345</v>
      </c>
      <c r="AR156" s="1" t="n">
        <f aca="false">PMT(Assumptions!$B$5,Assumptions!$B$29,-AQ156)</f>
        <v>535.414002923455</v>
      </c>
      <c r="AS156" s="0" t="n">
        <f aca="false">MAX(0,AD156-H156)</f>
        <v>84</v>
      </c>
      <c r="AT156" s="0" t="n">
        <f aca="false">MIN(Assumptions!$B$29,AS156)</f>
        <v>36</v>
      </c>
      <c r="AU156" s="0" t="n">
        <f aca="false">IF(AS156&gt;=Assumptions!$B$29,0,-PV(Assumptions!$B$5,Assumptions!$B$29-AS156,AR156))</f>
        <v>0</v>
      </c>
      <c r="AV156" s="1" t="n">
        <f aca="false">(-PV(Assumptions!$B$3,AT156,AR156))/POWER(1+Assumptions!$B$2,AH156)</f>
        <v>15635.1989083881</v>
      </c>
      <c r="AW156" s="1" t="n">
        <f aca="false">-PV(Assumptions!$B$2,AH156,T156+AI156)</f>
        <v>5318.41766002654</v>
      </c>
      <c r="AX156" s="1" t="n">
        <f aca="false">(-PV(Assumptions!$B$2,C156,S156))-(-PV(Assumptions!$B$2,AH156,S156))</f>
        <v>8919.48888629116</v>
      </c>
      <c r="AY156" s="1" t="n">
        <f aca="false">AJ156+AW156+AX156+(-PV(Assumptions!$B$2,C156,R156))+X156-(W156/POWER(1+Assumptions!$B$2,C156))</f>
        <v>36661.5575910557</v>
      </c>
      <c r="AZ156" s="1" t="n">
        <f aca="false">AY156+AV156+(AU156/POWER(1+Assumptions!$B$2,C156))</f>
        <v>52296.7564994438</v>
      </c>
      <c r="BA156" s="0" t="n">
        <f aca="false">AQ156/POWER(1+Assumptions!$B$2,AH156)</f>
        <v>15110.4546052607</v>
      </c>
      <c r="BB156" s="1" t="n">
        <f aca="false">AY156+BA156</f>
        <v>51772.0121963164</v>
      </c>
      <c r="BC156" s="1" t="n">
        <f aca="false">AJ156+Assumptions!$B$28/POWER(1+Assumptions!$B$2,AH156)+(-PV(Assumptions!$B$2,AH156,R156+T156+AI156))</f>
        <v>22088.5781570627</v>
      </c>
      <c r="BD156" s="1" t="n">
        <f aca="false">MIN(Z156,AG156,AZ156)</f>
        <v>52296.7564994438</v>
      </c>
      <c r="BE156" s="0" t="str">
        <f aca="false">IF(BD156=Z156,"Cash",IF(BD156=AG156,"Loan","Lease then buy out"))</f>
        <v>Lease then buy out</v>
      </c>
    </row>
    <row r="157" customFormat="false" ht="15" hidden="false" customHeight="false" outlineLevel="0" collapsed="false">
      <c r="A157" s="0" t="s">
        <v>51</v>
      </c>
      <c r="B157" s="0" t="s">
        <v>52</v>
      </c>
      <c r="C157" s="0" t="n">
        <v>10</v>
      </c>
      <c r="D157" s="0" t="n">
        <v>0</v>
      </c>
      <c r="E157" s="0" t="n">
        <v>27021</v>
      </c>
      <c r="F157" s="0" t="n">
        <v>2879</v>
      </c>
      <c r="G157" s="0" t="n">
        <v>379</v>
      </c>
      <c r="H157" s="0" t="n">
        <v>36</v>
      </c>
      <c r="I157" s="0" t="n">
        <v>30</v>
      </c>
      <c r="J157" s="0" t="n">
        <v>7378</v>
      </c>
      <c r="K157" s="0" t="s">
        <v>35</v>
      </c>
      <c r="L157" s="0" t="n">
        <v>148.4</v>
      </c>
      <c r="M157" s="0" t="n">
        <f aca="false">MAX(Assumptions!$B$33,Assumptions!$B$30-Assumptions!$B$31*(H157-36)-IF(D157=1,Assumptions!$B$32,0))</f>
        <v>0.57</v>
      </c>
      <c r="N157" s="0" t="n">
        <f aca="false">E157*M157</f>
        <v>15401.97</v>
      </c>
      <c r="O157" s="0" t="n">
        <f aca="false">1-POWER(J157/E157,0.1)</f>
        <v>0.121738746377836</v>
      </c>
      <c r="P157" s="0" t="n">
        <f aca="false">E157*(1+Assumptions!$B$8)+Assumptions!$B$9</f>
        <v>28772.05</v>
      </c>
      <c r="Q157" s="0" t="n">
        <f aca="false">IF(D157=1,Assumptions!$B$14*33.7,Assumptions!$B$13)</f>
        <v>3.1</v>
      </c>
      <c r="R157" s="0" t="n">
        <f aca="false">(Assumptions!$B$10/I157)*Q157</f>
        <v>1033.33333333333</v>
      </c>
      <c r="S157" s="0" t="n">
        <f aca="false">Assumptions!$B$15+Assumptions!$B$17</f>
        <v>1750</v>
      </c>
      <c r="T157" s="0" t="n">
        <f aca="false">Assumptions!$B$15*(1+Assumptions!$B$16)+Assumptions!$B$17</f>
        <v>1942</v>
      </c>
      <c r="U157" s="0" t="n">
        <f aca="false">IF(OR(C157&gt;Assumptions!$B$11,Assumptions!$B$10*C157&gt;Assumptions!$B$12),1,0)</f>
        <v>0</v>
      </c>
      <c r="V157" s="0" t="n">
        <f aca="false">MAX(0.6,1-Assumptions!$B$22*MAX(0,(Assumptions!$B$10-10000)*C157)/10000)</f>
        <v>1</v>
      </c>
      <c r="W157" s="0" t="n">
        <f aca="false">IF(U157=1,Assumptions!$B$23,MAX(Assumptions!$B$23,E157*POWER(1-O157,C157)*V157))</f>
        <v>7378</v>
      </c>
      <c r="X157" s="0" t="n">
        <f aca="true">SUMPRODUCT((ROW(INDIRECT("1:"&amp;C157))&gt;Assumptions!$B$20)*Assumptions!$B$18*POWER(Assumptions!$B$19,ROW(INDIRECT("1:"&amp;C157))-Assumptions!$B$20-1)*IF(ROW(INDIRECT("1:"&amp;C157))&gt;Assumptions!$B$11,Assumptions!$B$21,1)/POWER(1+Assumptions!$B$2,ROW(INDIRECT("1:"&amp;C157))))</f>
        <v>7070.12417022456</v>
      </c>
      <c r="Y157" s="1" t="n">
        <f aca="false">-PV(Assumptions!$B$2,C157,R157+S157)+X157</f>
        <v>28878.8764619777</v>
      </c>
      <c r="Z157" s="1" t="n">
        <f aca="false">P157+Y157-(W157/POWER(1+Assumptions!$B$2,C157))</f>
        <v>52990.0044729485</v>
      </c>
      <c r="AA157" s="0" t="n">
        <f aca="false">P157*Assumptions!$B$7</f>
        <v>2877.205</v>
      </c>
      <c r="AB157" s="0" t="n">
        <f aca="false">P157-AA157</f>
        <v>25894.845</v>
      </c>
      <c r="AC157" s="1" t="n">
        <f aca="false">PMT(Assumptions!$B$5,Assumptions!$B$6,-AB157)</f>
        <v>512.626803498289</v>
      </c>
      <c r="AD157" s="0" t="n">
        <f aca="false">C157*12</f>
        <v>120</v>
      </c>
      <c r="AE157" s="0" t="n">
        <f aca="false">MIN(Assumptions!$B$6,AD157)</f>
        <v>60</v>
      </c>
      <c r="AF157" s="0" t="n">
        <f aca="false">IF(AD157&gt;=Assumptions!$B$6,0,-PV(Assumptions!$B$5,Assumptions!$B$6-AD157,AC157))</f>
        <v>0</v>
      </c>
      <c r="AG157" s="1" t="n">
        <f aca="false">AA157+(-PV(Assumptions!$B$3,AE157,AC157))+Y157-((W157-AF157)/POWER(1+Assumptions!$B$2,C157))</f>
        <v>54458.4610453084</v>
      </c>
      <c r="AH157" s="0" t="n">
        <f aca="false">H157/12</f>
        <v>3</v>
      </c>
      <c r="AI157" s="0" t="n">
        <f aca="false">MAX(0,Assumptions!$B$10-Assumptions!$B$24)*Assumptions!$B$25</f>
        <v>0</v>
      </c>
      <c r="AJ157" s="1" t="n">
        <f aca="false">F157+Assumptions!$B$27+(-PV(Assumptions!$B$3,H157-1,G157))</f>
        <v>15952.3611818175</v>
      </c>
      <c r="AK157" s="0" t="n">
        <f aca="false">CEILING(C157/AH157,1)</f>
        <v>4</v>
      </c>
      <c r="AL157" s="0" t="n">
        <f aca="false">(1+Assumptions!$B$26)/POWER(1+Assumptions!$B$2,AH157)</f>
        <v>0.906135810905202</v>
      </c>
      <c r="AM157" s="0" t="n">
        <f aca="false">IF(ABS(1-AL157)&lt;0.000000000001,AK157,(1-POWER(AL157,AK157))/(1-AL157))</f>
        <v>3.47122982028551</v>
      </c>
      <c r="AN157" s="0" t="n">
        <f aca="false">1/POWER(1+Assumptions!$B$2,AH157)</f>
        <v>0.871284433562695</v>
      </c>
      <c r="AO157" s="0" t="n">
        <f aca="false">IF(ABS(1-AN157)&lt;0.000000000001,AK157,AN157*(1-POWER(AN157,AK157))/(1-AN157))</f>
        <v>2.86813319209759</v>
      </c>
      <c r="AP157" s="1" t="n">
        <f aca="false">AJ157*AM157+Assumptions!$B$28*AO157+(-PV(Assumptions!$B$2,C157,R157+T157+AI157))</f>
        <v>79834.7295410199</v>
      </c>
      <c r="AQ157" s="0" t="n">
        <f aca="false">N157*(1+Assumptions!$B$8)</f>
        <v>16172.0685</v>
      </c>
      <c r="AR157" s="1" t="n">
        <f aca="false">PMT(Assumptions!$B$5,Assumptions!$B$29,-AQ157)</f>
        <v>499.272587672798</v>
      </c>
      <c r="AS157" s="0" t="n">
        <f aca="false">MAX(0,AD157-H157)</f>
        <v>84</v>
      </c>
      <c r="AT157" s="0" t="n">
        <f aca="false">MIN(Assumptions!$B$29,AS157)</f>
        <v>36</v>
      </c>
      <c r="AU157" s="0" t="n">
        <f aca="false">IF(AS157&gt;=Assumptions!$B$29,0,-PV(Assumptions!$B$5,Assumptions!$B$29-AS157,AR157))</f>
        <v>0</v>
      </c>
      <c r="AV157" s="1" t="n">
        <f aca="false">(-PV(Assumptions!$B$3,AT157,AR157))/POWER(1+Assumptions!$B$2,AH157)</f>
        <v>14579.7946545037</v>
      </c>
      <c r="AW157" s="1" t="n">
        <f aca="false">-PV(Assumptions!$B$2,AH157,T157+AI157)</f>
        <v>5318.41766002654</v>
      </c>
      <c r="AX157" s="1" t="n">
        <f aca="false">(-PV(Assumptions!$B$2,C157,S157))-(-PV(Assumptions!$B$2,AH157,S157))</f>
        <v>8919.48888629116</v>
      </c>
      <c r="AY157" s="1" t="n">
        <f aca="false">AJ157+AW157+AX157+(-PV(Assumptions!$B$2,C157,R157))+X157-(W157/POWER(1+Assumptions!$B$2,C157))</f>
        <v>40696.1324368078</v>
      </c>
      <c r="AZ157" s="1" t="n">
        <f aca="false">AY157+AV157+(AU157/POWER(1+Assumptions!$B$2,C157))</f>
        <v>55275.9270913115</v>
      </c>
      <c r="BA157" s="0" t="n">
        <f aca="false">AQ157/POWER(1+Assumptions!$B$2,AH157)</f>
        <v>14090.4715425596</v>
      </c>
      <c r="BB157" s="1" t="n">
        <f aca="false">AY157+BA157</f>
        <v>54786.6039793674</v>
      </c>
      <c r="BC157" s="1" t="n">
        <f aca="false">AJ157+Assumptions!$B$28/POWER(1+Assumptions!$B$2,AH157)+(-PV(Assumptions!$B$2,AH157,R157+T157+AI157))</f>
        <v>24449.2093241744</v>
      </c>
      <c r="BD157" s="1" t="n">
        <f aca="false">MIN(Z157,AG157,AZ157)</f>
        <v>52990.0044729485</v>
      </c>
      <c r="BE157" s="0" t="str">
        <f aca="false">IF(BD157=Z157,"Cash",IF(BD157=AG157,"Loan","Lease then buy out"))</f>
        <v>Cash</v>
      </c>
    </row>
    <row r="158" customFormat="false" ht="15" hidden="false" customHeight="false" outlineLevel="0" collapsed="false">
      <c r="A158" s="0" t="s">
        <v>53</v>
      </c>
      <c r="B158" s="0" t="s">
        <v>54</v>
      </c>
      <c r="C158" s="0" t="n">
        <v>10</v>
      </c>
      <c r="D158" s="0" t="n">
        <v>0</v>
      </c>
      <c r="E158" s="0" t="n">
        <v>27705</v>
      </c>
      <c r="F158" s="0" t="n">
        <v>3408</v>
      </c>
      <c r="G158" s="0" t="n">
        <v>408</v>
      </c>
      <c r="H158" s="0" t="n">
        <v>36</v>
      </c>
      <c r="I158" s="0" t="n">
        <v>30</v>
      </c>
      <c r="J158" s="0" t="n">
        <v>7884</v>
      </c>
      <c r="K158" s="0" t="s">
        <v>35</v>
      </c>
      <c r="L158" s="0" t="n">
        <v>146.2</v>
      </c>
      <c r="M158" s="0" t="n">
        <f aca="false">MAX(Assumptions!$B$33,Assumptions!$B$30-Assumptions!$B$31*(H158-36)-IF(D158=1,Assumptions!$B$32,0))</f>
        <v>0.57</v>
      </c>
      <c r="N158" s="0" t="n">
        <f aca="false">E158*M158</f>
        <v>15791.85</v>
      </c>
      <c r="O158" s="0" t="n">
        <f aca="false">1-POWER(J158/E158,0.1)</f>
        <v>0.118101008200628</v>
      </c>
      <c r="P158" s="0" t="n">
        <f aca="false">E158*(1+Assumptions!$B$8)+Assumptions!$B$9</f>
        <v>29490.25</v>
      </c>
      <c r="Q158" s="0" t="n">
        <f aca="false">IF(D158=1,Assumptions!$B$14*33.7,Assumptions!$B$13)</f>
        <v>3.1</v>
      </c>
      <c r="R158" s="0" t="n">
        <f aca="false">(Assumptions!$B$10/I158)*Q158</f>
        <v>1033.33333333333</v>
      </c>
      <c r="S158" s="0" t="n">
        <f aca="false">Assumptions!$B$15+Assumptions!$B$17</f>
        <v>1750</v>
      </c>
      <c r="T158" s="0" t="n">
        <f aca="false">Assumptions!$B$15*(1+Assumptions!$B$16)+Assumptions!$B$17</f>
        <v>1942</v>
      </c>
      <c r="U158" s="0" t="n">
        <f aca="false">IF(OR(C158&gt;Assumptions!$B$11,Assumptions!$B$10*C158&gt;Assumptions!$B$12),1,0)</f>
        <v>0</v>
      </c>
      <c r="V158" s="0" t="n">
        <f aca="false">MAX(0.6,1-Assumptions!$B$22*MAX(0,(Assumptions!$B$10-10000)*C158)/10000)</f>
        <v>1</v>
      </c>
      <c r="W158" s="0" t="n">
        <f aca="false">IF(U158=1,Assumptions!$B$23,MAX(Assumptions!$B$23,E158*POWER(1-O158,C158)*V158))</f>
        <v>7884</v>
      </c>
      <c r="X158" s="0" t="n">
        <f aca="true">SUMPRODUCT((ROW(INDIRECT("1:"&amp;C158))&gt;Assumptions!$B$20)*Assumptions!$B$18*POWER(Assumptions!$B$19,ROW(INDIRECT("1:"&amp;C158))-Assumptions!$B$20-1)*IF(ROW(INDIRECT("1:"&amp;C158))&gt;Assumptions!$B$11,Assumptions!$B$21,1)/POWER(1+Assumptions!$B$2,ROW(INDIRECT("1:"&amp;C158))))</f>
        <v>7070.12417022456</v>
      </c>
      <c r="Y158" s="1" t="n">
        <f aca="false">-PV(Assumptions!$B$2,C158,R158+S158)+X158</f>
        <v>28878.8764619777</v>
      </c>
      <c r="Z158" s="1" t="n">
        <f aca="false">P158+Y158-(W158/POWER(1+Assumptions!$B$2,C158))</f>
        <v>53388.5478551051</v>
      </c>
      <c r="AA158" s="0" t="n">
        <f aca="false">P158*Assumptions!$B$7</f>
        <v>2949.025</v>
      </c>
      <c r="AB158" s="0" t="n">
        <f aca="false">P158-AA158</f>
        <v>26541.225</v>
      </c>
      <c r="AC158" s="1" t="n">
        <f aca="false">PMT(Assumptions!$B$5,Assumptions!$B$6,-AB158)</f>
        <v>525.422852798651</v>
      </c>
      <c r="AD158" s="0" t="n">
        <f aca="false">C158*12</f>
        <v>120</v>
      </c>
      <c r="AE158" s="0" t="n">
        <f aca="false">MIN(Assumptions!$B$6,AD158)</f>
        <v>60</v>
      </c>
      <c r="AF158" s="0" t="n">
        <f aca="false">IF(AD158&gt;=Assumptions!$B$6,0,-PV(Assumptions!$B$5,Assumptions!$B$6-AD158,AC158))</f>
        <v>0</v>
      </c>
      <c r="AG158" s="1" t="n">
        <f aca="false">AA158+(-PV(Assumptions!$B$3,AE158,AC158))+Y158-((W158-AF158)/POWER(1+Assumptions!$B$2,C158))</f>
        <v>54893.6596366096</v>
      </c>
      <c r="AH158" s="0" t="n">
        <f aca="false">H158/12</f>
        <v>3</v>
      </c>
      <c r="AI158" s="0" t="n">
        <f aca="false">MAX(0,Assumptions!$B$10-Assumptions!$B$24)*Assumptions!$B$25</f>
        <v>0</v>
      </c>
      <c r="AJ158" s="1" t="n">
        <f aca="false">F158+Assumptions!$B$27+(-PV(Assumptions!$B$3,H158-1,G158))</f>
        <v>17428.1355202679</v>
      </c>
      <c r="AK158" s="0" t="n">
        <f aca="false">CEILING(C158/AH158,1)</f>
        <v>4</v>
      </c>
      <c r="AL158" s="0" t="n">
        <f aca="false">(1+Assumptions!$B$26)/POWER(1+Assumptions!$B$2,AH158)</f>
        <v>0.906135810905202</v>
      </c>
      <c r="AM158" s="0" t="n">
        <f aca="false">IF(ABS(1-AL158)&lt;0.000000000001,AK158,(1-POWER(AL158,AK158))/(1-AL158))</f>
        <v>3.47122982028551</v>
      </c>
      <c r="AN158" s="0" t="n">
        <f aca="false">1/POWER(1+Assumptions!$B$2,AH158)</f>
        <v>0.871284433562695</v>
      </c>
      <c r="AO158" s="0" t="n">
        <f aca="false">IF(ABS(1-AN158)&lt;0.000000000001,AK158,AN158*(1-POWER(AN158,AK158))/(1-AN158))</f>
        <v>2.86813319209759</v>
      </c>
      <c r="AP158" s="1" t="n">
        <f aca="false">AJ158*AM158+Assumptions!$B$28*AO158+(-PV(Assumptions!$B$2,C158,R158+T158+AI158))</f>
        <v>84957.4814326611</v>
      </c>
      <c r="AQ158" s="0" t="n">
        <f aca="false">N158*(1+Assumptions!$B$8)</f>
        <v>16581.4425</v>
      </c>
      <c r="AR158" s="1" t="n">
        <f aca="false">PMT(Assumptions!$B$5,Assumptions!$B$29,-AQ158)</f>
        <v>511.910996686832</v>
      </c>
      <c r="AS158" s="0" t="n">
        <f aca="false">MAX(0,AD158-H158)</f>
        <v>84</v>
      </c>
      <c r="AT158" s="0" t="n">
        <f aca="false">MIN(Assumptions!$B$29,AS158)</f>
        <v>36</v>
      </c>
      <c r="AU158" s="0" t="n">
        <f aca="false">IF(AS158&gt;=Assumptions!$B$29,0,-PV(Assumptions!$B$5,Assumptions!$B$29-AS158,AR158))</f>
        <v>0</v>
      </c>
      <c r="AV158" s="1" t="n">
        <f aca="false">(-PV(Assumptions!$B$3,AT158,AR158))/POWER(1+Assumptions!$B$2,AH158)</f>
        <v>14948.8623997271</v>
      </c>
      <c r="AW158" s="1" t="n">
        <f aca="false">-PV(Assumptions!$B$2,AH158,T158+AI158)</f>
        <v>5318.41766002654</v>
      </c>
      <c r="AX158" s="1" t="n">
        <f aca="false">(-PV(Assumptions!$B$2,C158,S158))-(-PV(Assumptions!$B$2,AH158,S158))</f>
        <v>8919.48888629116</v>
      </c>
      <c r="AY158" s="1" t="n">
        <f aca="false">AJ158+AW158+AX158+(-PV(Assumptions!$B$2,C158,R158))+X158-(W158/POWER(1+Assumptions!$B$2,C158))</f>
        <v>41852.2501574148</v>
      </c>
      <c r="AZ158" s="1" t="n">
        <f aca="false">AY158+AV158+(AU158/POWER(1+Assumptions!$B$2,C158))</f>
        <v>56801.1125571419</v>
      </c>
      <c r="BA158" s="0" t="n">
        <f aca="false">AQ158/POWER(1+Assumptions!$B$2,AH158)</f>
        <v>14447.1527362649</v>
      </c>
      <c r="BB158" s="1" t="n">
        <f aca="false">AY158+BA158</f>
        <v>56299.4028936797</v>
      </c>
      <c r="BC158" s="1" t="n">
        <f aca="false">AJ158+Assumptions!$B$28/POWER(1+Assumptions!$B$2,AH158)+(-PV(Assumptions!$B$2,AH158,R158+T158+AI158))</f>
        <v>25924.9836626249</v>
      </c>
      <c r="BD158" s="1" t="n">
        <f aca="false">MIN(Z158,AG158,AZ158)</f>
        <v>53388.5478551051</v>
      </c>
      <c r="BE158" s="0" t="str">
        <f aca="false">IF(BD158=Z158,"Cash",IF(BD158=AG158,"Loan","Lease then buy out"))</f>
        <v>Cash</v>
      </c>
    </row>
    <row r="159" customFormat="false" ht="15" hidden="false" customHeight="false" outlineLevel="0" collapsed="false">
      <c r="A159" s="0" t="s">
        <v>55</v>
      </c>
      <c r="B159" s="0" t="s">
        <v>56</v>
      </c>
      <c r="C159" s="0" t="n">
        <v>10</v>
      </c>
      <c r="D159" s="0" t="n">
        <v>0</v>
      </c>
      <c r="E159" s="0" t="n">
        <v>34802</v>
      </c>
      <c r="F159" s="0" t="n">
        <v>3002</v>
      </c>
      <c r="G159" s="0" t="n">
        <v>502</v>
      </c>
      <c r="H159" s="0" t="n">
        <v>36</v>
      </c>
      <c r="I159" s="0" t="n">
        <v>24</v>
      </c>
      <c r="J159" s="0" t="n">
        <v>12571</v>
      </c>
      <c r="K159" s="0" t="s">
        <v>35</v>
      </c>
      <c r="L159" s="0" t="n">
        <v>194.5</v>
      </c>
      <c r="M159" s="0" t="n">
        <f aca="false">MAX(Assumptions!$B$33,Assumptions!$B$30-Assumptions!$B$31*(H159-36)-IF(D159=1,Assumptions!$B$32,0))</f>
        <v>0.57</v>
      </c>
      <c r="N159" s="0" t="n">
        <f aca="false">E159*M159</f>
        <v>19837.14</v>
      </c>
      <c r="O159" s="0" t="n">
        <f aca="false">1-POWER(J159/E159,0.1)</f>
        <v>0.0968153200382337</v>
      </c>
      <c r="P159" s="0" t="n">
        <f aca="false">E159*(1+Assumptions!$B$8)+Assumptions!$B$9</f>
        <v>36942.1</v>
      </c>
      <c r="Q159" s="0" t="n">
        <f aca="false">IF(D159=1,Assumptions!$B$14*33.7,Assumptions!$B$13)</f>
        <v>3.1</v>
      </c>
      <c r="R159" s="0" t="n">
        <f aca="false">(Assumptions!$B$10/I159)*Q159</f>
        <v>1291.66666666667</v>
      </c>
      <c r="S159" s="0" t="n">
        <f aca="false">Assumptions!$B$15+Assumptions!$B$17</f>
        <v>1750</v>
      </c>
      <c r="T159" s="0" t="n">
        <f aca="false">Assumptions!$B$15*(1+Assumptions!$B$16)+Assumptions!$B$17</f>
        <v>1942</v>
      </c>
      <c r="U159" s="0" t="n">
        <f aca="false">IF(OR(C159&gt;Assumptions!$B$11,Assumptions!$B$10*C159&gt;Assumptions!$B$12),1,0)</f>
        <v>0</v>
      </c>
      <c r="V159" s="0" t="n">
        <f aca="false">MAX(0.6,1-Assumptions!$B$22*MAX(0,(Assumptions!$B$10-10000)*C159)/10000)</f>
        <v>1</v>
      </c>
      <c r="W159" s="0" t="n">
        <f aca="false">IF(U159=1,Assumptions!$B$23,MAX(Assumptions!$B$23,E159*POWER(1-O159,C159)*V159))</f>
        <v>12571</v>
      </c>
      <c r="X159" s="0" t="n">
        <f aca="true">SUMPRODUCT((ROW(INDIRECT("1:"&amp;C159))&gt;Assumptions!$B$20)*Assumptions!$B$18*POWER(Assumptions!$B$19,ROW(INDIRECT("1:"&amp;C159))-Assumptions!$B$20-1)*IF(ROW(INDIRECT("1:"&amp;C159))&gt;Assumptions!$B$11,Assumptions!$B$21,1)/POWER(1+Assumptions!$B$2,ROW(INDIRECT("1:"&amp;C159))))</f>
        <v>7070.12417022456</v>
      </c>
      <c r="Y159" s="1" t="n">
        <f aca="false">-PV(Assumptions!$B$2,C159,R159+S159)+X159</f>
        <v>30903.042093847</v>
      </c>
      <c r="Z159" s="1" t="n">
        <f aca="false">P159+Y159-(W159/POWER(1+Assumptions!$B$2,C159))</f>
        <v>59903.6335110216</v>
      </c>
      <c r="AA159" s="0" t="n">
        <f aca="false">P159*Assumptions!$B$7</f>
        <v>3694.21</v>
      </c>
      <c r="AB159" s="0" t="n">
        <f aca="false">P159-AA159</f>
        <v>33247.89</v>
      </c>
      <c r="AC159" s="1" t="n">
        <f aca="false">PMT(Assumptions!$B$5,Assumptions!$B$6,-AB159)</f>
        <v>658.191218127111</v>
      </c>
      <c r="AD159" s="0" t="n">
        <f aca="false">C159*12</f>
        <v>120</v>
      </c>
      <c r="AE159" s="0" t="n">
        <f aca="false">MIN(Assumptions!$B$6,AD159)</f>
        <v>60</v>
      </c>
      <c r="AF159" s="0" t="n">
        <f aca="false">IF(AD159&gt;=Assumptions!$B$6,0,-PV(Assumptions!$B$5,Assumptions!$B$6-AD159,AC159))</f>
        <v>0</v>
      </c>
      <c r="AG159" s="1" t="n">
        <f aca="false">AA159+(-PV(Assumptions!$B$3,AE159,AC159))+Y159-((W159-AF159)/POWER(1+Assumptions!$B$2,C159))</f>
        <v>61789.0698821448</v>
      </c>
      <c r="AH159" s="0" t="n">
        <f aca="false">H159/12</f>
        <v>3</v>
      </c>
      <c r="AI159" s="0" t="n">
        <f aca="false">MAX(0,Assumptions!$B$10-Assumptions!$B$24)*Assumptions!$B$25</f>
        <v>0</v>
      </c>
      <c r="AJ159" s="1" t="n">
        <f aca="false">F159+Assumptions!$B$27+(-PV(Assumptions!$B$3,H159-1,G159))</f>
        <v>20090.9902724865</v>
      </c>
      <c r="AK159" s="0" t="n">
        <f aca="false">CEILING(C159/AH159,1)</f>
        <v>4</v>
      </c>
      <c r="AL159" s="0" t="n">
        <f aca="false">(1+Assumptions!$B$26)/POWER(1+Assumptions!$B$2,AH159)</f>
        <v>0.906135810905202</v>
      </c>
      <c r="AM159" s="0" t="n">
        <f aca="false">IF(ABS(1-AL159)&lt;0.000000000001,AK159,(1-POWER(AL159,AK159))/(1-AL159))</f>
        <v>3.47122982028551</v>
      </c>
      <c r="AN159" s="0" t="n">
        <f aca="false">1/POWER(1+Assumptions!$B$2,AH159)</f>
        <v>0.871284433562695</v>
      </c>
      <c r="AO159" s="0" t="n">
        <f aca="false">IF(ABS(1-AN159)&lt;0.000000000001,AK159,AN159*(1-POWER(AN159,AK159))/(1-AN159))</f>
        <v>2.86813319209759</v>
      </c>
      <c r="AP159" s="1" t="n">
        <f aca="false">AJ159*AM159+Assumptions!$B$28*AO159+(-PV(Assumptions!$B$2,C159,R159+T159+AI159))</f>
        <v>96225.0278875206</v>
      </c>
      <c r="AQ159" s="0" t="n">
        <f aca="false">N159*(1+Assumptions!$B$8)</f>
        <v>20828.997</v>
      </c>
      <c r="AR159" s="1" t="n">
        <f aca="false">PMT(Assumptions!$B$5,Assumptions!$B$29,-AQ159)</f>
        <v>643.043728810508</v>
      </c>
      <c r="AS159" s="0" t="n">
        <f aca="false">MAX(0,AD159-H159)</f>
        <v>84</v>
      </c>
      <c r="AT159" s="0" t="n">
        <f aca="false">MIN(Assumptions!$B$29,AS159)</f>
        <v>36</v>
      </c>
      <c r="AU159" s="0" t="n">
        <f aca="false">IF(AS159&gt;=Assumptions!$B$29,0,-PV(Assumptions!$B$5,Assumptions!$B$29-AS159,AR159))</f>
        <v>0</v>
      </c>
      <c r="AV159" s="1" t="n">
        <f aca="false">(-PV(Assumptions!$B$3,AT159,AR159))/POWER(1+Assumptions!$B$2,AH159)</f>
        <v>18778.2100427829</v>
      </c>
      <c r="AW159" s="1" t="n">
        <f aca="false">-PV(Assumptions!$B$2,AH159,T159+AI159)</f>
        <v>5318.41766002654</v>
      </c>
      <c r="AX159" s="1" t="n">
        <f aca="false">(-PV(Assumptions!$B$2,C159,S159))-(-PV(Assumptions!$B$2,AH159,S159))</f>
        <v>8919.48888629116</v>
      </c>
      <c r="AY159" s="1" t="n">
        <f aca="false">AJ159+AW159+AX159+(-PV(Assumptions!$B$2,C159,R159))+X159-(W159/POWER(1+Assumptions!$B$2,C159))</f>
        <v>43578.3405655499</v>
      </c>
      <c r="AZ159" s="1" t="n">
        <f aca="false">AY159+AV159+(AU159/POWER(1+Assumptions!$B$2,C159))</f>
        <v>62356.5506083329</v>
      </c>
      <c r="BA159" s="0" t="n">
        <f aca="false">AQ159/POWER(1+Assumptions!$B$2,AH159)</f>
        <v>18147.9808528241</v>
      </c>
      <c r="BB159" s="1" t="n">
        <f aca="false">AY159+BA159</f>
        <v>61726.321418374</v>
      </c>
      <c r="BC159" s="1" t="n">
        <f aca="false">AJ159+Assumptions!$B$28/POWER(1+Assumptions!$B$2,AH159)+(-PV(Assumptions!$B$2,AH159,R159+T159+AI159))</f>
        <v>29295.3175920698</v>
      </c>
      <c r="BD159" s="1" t="n">
        <f aca="false">MIN(Z159,AG159,AZ159)</f>
        <v>59903.6335110216</v>
      </c>
      <c r="BE159" s="0" t="str">
        <f aca="false">IF(BD159=Z159,"Cash",IF(BD159=AG159,"Loan","Lease then buy out"))</f>
        <v>Cash</v>
      </c>
    </row>
    <row r="160" customFormat="false" ht="15" hidden="false" customHeight="false" outlineLevel="0" collapsed="false">
      <c r="A160" s="0" t="s">
        <v>41</v>
      </c>
      <c r="B160" s="0" t="s">
        <v>57</v>
      </c>
      <c r="C160" s="0" t="n">
        <v>10</v>
      </c>
      <c r="D160" s="0" t="n">
        <v>0</v>
      </c>
      <c r="E160" s="0" t="n">
        <v>27398</v>
      </c>
      <c r="F160" s="0" t="n">
        <v>2809</v>
      </c>
      <c r="G160" s="0" t="n">
        <v>309</v>
      </c>
      <c r="H160" s="0" t="n">
        <v>36</v>
      </c>
      <c r="I160" s="0" t="n">
        <v>28</v>
      </c>
      <c r="J160" s="0" t="n">
        <v>7930</v>
      </c>
      <c r="K160" s="0" t="s">
        <v>35</v>
      </c>
      <c r="L160" s="0" t="n">
        <v>148.3</v>
      </c>
      <c r="M160" s="0" t="n">
        <f aca="false">MAX(Assumptions!$B$33,Assumptions!$B$30-Assumptions!$B$31*(H160-36)-IF(D160=1,Assumptions!$B$32,0))</f>
        <v>0.57</v>
      </c>
      <c r="N160" s="0" t="n">
        <f aca="false">E160*M160</f>
        <v>15616.86</v>
      </c>
      <c r="O160" s="0" t="n">
        <f aca="false">1-POWER(J160/E160,0.1)</f>
        <v>0.116603991561914</v>
      </c>
      <c r="P160" s="0" t="n">
        <f aca="false">E160*(1+Assumptions!$B$8)+Assumptions!$B$9</f>
        <v>29167.9</v>
      </c>
      <c r="Q160" s="0" t="n">
        <f aca="false">IF(D160=1,Assumptions!$B$14*33.7,Assumptions!$B$13)</f>
        <v>3.1</v>
      </c>
      <c r="R160" s="0" t="n">
        <f aca="false">(Assumptions!$B$10/I160)*Q160</f>
        <v>1107.14285714286</v>
      </c>
      <c r="S160" s="0" t="n">
        <f aca="false">Assumptions!$B$15+Assumptions!$B$17</f>
        <v>1750</v>
      </c>
      <c r="T160" s="0" t="n">
        <f aca="false">Assumptions!$B$15*(1+Assumptions!$B$16)+Assumptions!$B$17</f>
        <v>1942</v>
      </c>
      <c r="U160" s="0" t="n">
        <f aca="false">IF(OR(C160&gt;Assumptions!$B$11,Assumptions!$B$10*C160&gt;Assumptions!$B$12),1,0)</f>
        <v>0</v>
      </c>
      <c r="V160" s="0" t="n">
        <f aca="false">MAX(0.6,1-Assumptions!$B$22*MAX(0,(Assumptions!$B$10-10000)*C160)/10000)</f>
        <v>1</v>
      </c>
      <c r="W160" s="0" t="n">
        <f aca="false">IF(U160=1,Assumptions!$B$23,MAX(Assumptions!$B$23,E160*POWER(1-O160,C160)*V160))</f>
        <v>7930.00000000001</v>
      </c>
      <c r="X160" s="0" t="n">
        <f aca="true">SUMPRODUCT((ROW(INDIRECT("1:"&amp;C160))&gt;Assumptions!$B$20)*Assumptions!$B$18*POWER(Assumptions!$B$19,ROW(INDIRECT("1:"&amp;C160))-Assumptions!$B$20-1)*IF(ROW(INDIRECT("1:"&amp;C160))&gt;Assumptions!$B$11,Assumptions!$B$21,1)/POWER(1+Assumptions!$B$2,ROW(INDIRECT("1:"&amp;C160))))</f>
        <v>7070.12417022456</v>
      </c>
      <c r="Y160" s="1" t="n">
        <f aca="false">-PV(Assumptions!$B$2,C160,R160+S160)+X160</f>
        <v>29457.2094996547</v>
      </c>
      <c r="Z160" s="1" t="n">
        <f aca="false">P160+Y160-(W160/POWER(1+Assumptions!$B$2,C160))</f>
        <v>53615.4712002508</v>
      </c>
      <c r="AA160" s="0" t="n">
        <f aca="false">P160*Assumptions!$B$7</f>
        <v>2916.79</v>
      </c>
      <c r="AB160" s="0" t="n">
        <f aca="false">P160-AA160</f>
        <v>26251.11</v>
      </c>
      <c r="AC160" s="1" t="n">
        <f aca="false">PMT(Assumptions!$B$5,Assumptions!$B$6,-AB160)</f>
        <v>519.679596753021</v>
      </c>
      <c r="AD160" s="0" t="n">
        <f aca="false">C160*12</f>
        <v>120</v>
      </c>
      <c r="AE160" s="0" t="n">
        <f aca="false">MIN(Assumptions!$B$6,AD160)</f>
        <v>60</v>
      </c>
      <c r="AF160" s="0" t="n">
        <f aca="false">IF(AD160&gt;=Assumptions!$B$6,0,-PV(Assumptions!$B$5,Assumptions!$B$6-AD160,AC160))</f>
        <v>0</v>
      </c>
      <c r="AG160" s="1" t="n">
        <f aca="false">AA160+(-PV(Assumptions!$B$3,AE160,AC160))+Y160-((W160-AF160)/POWER(1+Assumptions!$B$2,C160))</f>
        <v>55104.1310092299</v>
      </c>
      <c r="AH160" s="0" t="n">
        <f aca="false">H160/12</f>
        <v>3</v>
      </c>
      <c r="AI160" s="0" t="n">
        <f aca="false">MAX(0,Assumptions!$B$10-Assumptions!$B$24)*Assumptions!$B$25</f>
        <v>0</v>
      </c>
      <c r="AJ160" s="1" t="n">
        <f aca="false">F160+Assumptions!$B$27+(-PV(Assumptions!$B$3,H160-1,G160))</f>
        <v>13597.0438131441</v>
      </c>
      <c r="AK160" s="0" t="n">
        <f aca="false">CEILING(C160/AH160,1)</f>
        <v>4</v>
      </c>
      <c r="AL160" s="0" t="n">
        <f aca="false">(1+Assumptions!$B$26)/POWER(1+Assumptions!$B$2,AH160)</f>
        <v>0.906135810905202</v>
      </c>
      <c r="AM160" s="0" t="n">
        <f aca="false">IF(ABS(1-AL160)&lt;0.000000000001,AK160,(1-POWER(AL160,AK160))/(1-AL160))</f>
        <v>3.47122982028551</v>
      </c>
      <c r="AN160" s="0" t="n">
        <f aca="false">1/POWER(1+Assumptions!$B$2,AH160)</f>
        <v>0.871284433562695</v>
      </c>
      <c r="AO160" s="0" t="n">
        <f aca="false">IF(ABS(1-AN160)&lt;0.000000000001,AK160,AN160*(1-POWER(AN160,AK160))/(1-AN160))</f>
        <v>2.86813319209759</v>
      </c>
      <c r="AP160" s="1" t="n">
        <f aca="false">AJ160*AM160+Assumptions!$B$28*AO160+(-PV(Assumptions!$B$2,C160,R160+T160+AI160))</f>
        <v>72237.2146923213</v>
      </c>
      <c r="AQ160" s="0" t="n">
        <f aca="false">N160*(1+Assumptions!$B$8)</f>
        <v>16397.703</v>
      </c>
      <c r="AR160" s="1" t="n">
        <f aca="false">PMT(Assumptions!$B$5,Assumptions!$B$29,-AQ160)</f>
        <v>506.238494395445</v>
      </c>
      <c r="AS160" s="0" t="n">
        <f aca="false">MAX(0,AD160-H160)</f>
        <v>84</v>
      </c>
      <c r="AT160" s="0" t="n">
        <f aca="false">MIN(Assumptions!$B$29,AS160)</f>
        <v>36</v>
      </c>
      <c r="AU160" s="0" t="n">
        <f aca="false">IF(AS160&gt;=Assumptions!$B$29,0,-PV(Assumptions!$B$5,Assumptions!$B$29-AS160,AR160))</f>
        <v>0</v>
      </c>
      <c r="AV160" s="1" t="n">
        <f aca="false">(-PV(Assumptions!$B$3,AT160,AR160))/POWER(1+Assumptions!$B$2,AH160)</f>
        <v>14783.2135725581</v>
      </c>
      <c r="AW160" s="1" t="n">
        <f aca="false">-PV(Assumptions!$B$2,AH160,T160+AI160)</f>
        <v>5318.41766002654</v>
      </c>
      <c r="AX160" s="1" t="n">
        <f aca="false">(-PV(Assumptions!$B$2,C160,S160))-(-PV(Assumptions!$B$2,AH160,S160))</f>
        <v>8919.48888629116</v>
      </c>
      <c r="AY160" s="1" t="n">
        <f aca="false">AJ160+AW160+AX160+(-PV(Assumptions!$B$2,C160,R160))+X160-(W160/POWER(1+Assumptions!$B$2,C160))</f>
        <v>38570.4317954367</v>
      </c>
      <c r="AZ160" s="1" t="n">
        <f aca="false">AY160+AV160+(AU160/POWER(1+Assumptions!$B$2,C160))</f>
        <v>53353.6453679948</v>
      </c>
      <c r="BA160" s="0" t="n">
        <f aca="false">AQ160/POWER(1+Assumptions!$B$2,AH160)</f>
        <v>14287.0633700843</v>
      </c>
      <c r="BB160" s="1" t="n">
        <f aca="false">AY160+BA160</f>
        <v>52857.495165521</v>
      </c>
      <c r="BC160" s="1" t="n">
        <f aca="false">AJ160+Assumptions!$B$28/POWER(1+Assumptions!$B$2,AH160)+(-PV(Assumptions!$B$2,AH160,R160+T160+AI160))</f>
        <v>22296.02886328</v>
      </c>
      <c r="BD160" s="1" t="n">
        <f aca="false">MIN(Z160,AG160,AZ160)</f>
        <v>53353.6453679948</v>
      </c>
      <c r="BE160" s="0" t="str">
        <f aca="false">IF(BD160=Z160,"Cash",IF(BD160=AG160,"Loan","Lease then buy out"))</f>
        <v>Lease then buy out</v>
      </c>
    </row>
    <row r="161" customFormat="false" ht="15" hidden="false" customHeight="false" outlineLevel="0" collapsed="false">
      <c r="A161" s="0" t="s">
        <v>58</v>
      </c>
      <c r="B161" s="0" t="s">
        <v>59</v>
      </c>
      <c r="C161" s="0" t="n">
        <v>10</v>
      </c>
      <c r="D161" s="0" t="n">
        <v>0</v>
      </c>
      <c r="E161" s="0" t="n">
        <v>38969</v>
      </c>
      <c r="F161" s="0" t="n">
        <v>1102</v>
      </c>
      <c r="G161" s="0" t="n">
        <v>735</v>
      </c>
      <c r="H161" s="0" t="n">
        <v>36</v>
      </c>
      <c r="I161" s="0" t="n">
        <v>50</v>
      </c>
      <c r="J161" s="0" t="n">
        <v>14127</v>
      </c>
      <c r="K161" s="0" t="s">
        <v>35</v>
      </c>
      <c r="L161" s="0" t="n">
        <v>115</v>
      </c>
      <c r="M161" s="0" t="n">
        <f aca="false">MAX(Assumptions!$B$33,Assumptions!$B$30-Assumptions!$B$31*(H161-36)-IF(D161=1,Assumptions!$B$32,0))</f>
        <v>0.57</v>
      </c>
      <c r="N161" s="0" t="n">
        <f aca="false">E161*M161</f>
        <v>22212.33</v>
      </c>
      <c r="O161" s="0" t="n">
        <f aca="false">1-POWER(J161/E161,0.1)</f>
        <v>0.0964897821548884</v>
      </c>
      <c r="P161" s="0" t="n">
        <f aca="false">E161*(1+Assumptions!$B$8)+Assumptions!$B$9</f>
        <v>41317.45</v>
      </c>
      <c r="Q161" s="0" t="n">
        <f aca="false">IF(D161=1,Assumptions!$B$14*33.7,Assumptions!$B$13)</f>
        <v>3.1</v>
      </c>
      <c r="R161" s="0" t="n">
        <f aca="false">(Assumptions!$B$10/I161)*Q161</f>
        <v>620</v>
      </c>
      <c r="S161" s="0" t="n">
        <f aca="false">Assumptions!$B$15+Assumptions!$B$17</f>
        <v>1750</v>
      </c>
      <c r="T161" s="0" t="n">
        <f aca="false">Assumptions!$B$15*(1+Assumptions!$B$16)+Assumptions!$B$17</f>
        <v>1942</v>
      </c>
      <c r="U161" s="0" t="n">
        <f aca="false">IF(OR(C161&gt;Assumptions!$B$11,Assumptions!$B$10*C161&gt;Assumptions!$B$12),1,0)</f>
        <v>0</v>
      </c>
      <c r="V161" s="0" t="n">
        <f aca="false">MAX(0.6,1-Assumptions!$B$22*MAX(0,(Assumptions!$B$10-10000)*C161)/10000)</f>
        <v>1</v>
      </c>
      <c r="W161" s="0" t="n">
        <f aca="false">IF(U161=1,Assumptions!$B$23,MAX(Assumptions!$B$23,E161*POWER(1-O161,C161)*V161))</f>
        <v>14127</v>
      </c>
      <c r="X161" s="0" t="n">
        <f aca="true">SUMPRODUCT((ROW(INDIRECT("1:"&amp;C161))&gt;Assumptions!$B$20)*Assumptions!$B$18*POWER(Assumptions!$B$19,ROW(INDIRECT("1:"&amp;C161))-Assumptions!$B$20-1)*IF(ROW(INDIRECT("1:"&amp;C161))&gt;Assumptions!$B$11,Assumptions!$B$21,1)/POWER(1+Assumptions!$B$2,ROW(INDIRECT("1:"&amp;C161))))</f>
        <v>7070.12417022456</v>
      </c>
      <c r="Y161" s="1" t="n">
        <f aca="false">-PV(Assumptions!$B$2,C161,R161+S161)+X161</f>
        <v>25640.2114509868</v>
      </c>
      <c r="Z161" s="1" t="n">
        <f aca="false">P161+Y161-(W161/POWER(1+Assumptions!$B$2,C161))</f>
        <v>58033.1771816706</v>
      </c>
      <c r="AA161" s="0" t="n">
        <f aca="false">P161*Assumptions!$B$7</f>
        <v>4131.745</v>
      </c>
      <c r="AB161" s="0" t="n">
        <f aca="false">P161-AA161</f>
        <v>37185.705</v>
      </c>
      <c r="AC161" s="1" t="n">
        <f aca="false">PMT(Assumptions!$B$5,Assumptions!$B$6,-AB161)</f>
        <v>736.146097417472</v>
      </c>
      <c r="AD161" s="0" t="n">
        <f aca="false">C161*12</f>
        <v>120</v>
      </c>
      <c r="AE161" s="0" t="n">
        <f aca="false">MIN(Assumptions!$B$6,AD161)</f>
        <v>60</v>
      </c>
      <c r="AF161" s="0" t="n">
        <f aca="false">IF(AD161&gt;=Assumptions!$B$6,0,-PV(Assumptions!$B$5,Assumptions!$B$6-AD161,AC161))</f>
        <v>0</v>
      </c>
      <c r="AG161" s="1" t="n">
        <f aca="false">AA161+(-PV(Assumptions!$B$3,AE161,AC161))+Y161-((W161-AF161)/POWER(1+Assumptions!$B$2,C161))</f>
        <v>60141.9209453457</v>
      </c>
      <c r="AH161" s="0" t="n">
        <f aca="false">H161/12</f>
        <v>3</v>
      </c>
      <c r="AI161" s="0" t="n">
        <f aca="false">MAX(0,Assumptions!$B$10-Assumptions!$B$24)*Assumptions!$B$25</f>
        <v>0</v>
      </c>
      <c r="AJ161" s="1" t="n">
        <f aca="false">F161+Assumptions!$B$27+(-PV(Assumptions!$B$3,H161-1,G161))</f>
        <v>25797.8323710709</v>
      </c>
      <c r="AK161" s="0" t="n">
        <f aca="false">CEILING(C161/AH161,1)</f>
        <v>4</v>
      </c>
      <c r="AL161" s="0" t="n">
        <f aca="false">(1+Assumptions!$B$26)/POWER(1+Assumptions!$B$2,AH161)</f>
        <v>0.906135810905202</v>
      </c>
      <c r="AM161" s="0" t="n">
        <f aca="false">IF(ABS(1-AL161)&lt;0.000000000001,AK161,(1-POWER(AL161,AK161))/(1-AL161))</f>
        <v>3.47122982028551</v>
      </c>
      <c r="AN161" s="0" t="n">
        <f aca="false">1/POWER(1+Assumptions!$B$2,AH161)</f>
        <v>0.871284433562695</v>
      </c>
      <c r="AO161" s="0" t="n">
        <f aca="false">IF(ABS(1-AN161)&lt;0.000000000001,AK161,AN161*(1-POWER(AN161,AK161))/(1-AN161))</f>
        <v>2.86813319209759</v>
      </c>
      <c r="AP161" s="1" t="n">
        <f aca="false">AJ161*AM161+Assumptions!$B$28*AO161+(-PV(Assumptions!$B$2,C161,R161+T161+AI161))</f>
        <v>110771.957716927</v>
      </c>
      <c r="AQ161" s="0" t="n">
        <f aca="false">N161*(1+Assumptions!$B$8)</f>
        <v>23322.9465</v>
      </c>
      <c r="AR161" s="1" t="n">
        <f aca="false">PMT(Assumptions!$B$5,Assumptions!$B$29,-AQ161)</f>
        <v>720.038246882842</v>
      </c>
      <c r="AS161" s="0" t="n">
        <f aca="false">MAX(0,AD161-H161)</f>
        <v>84</v>
      </c>
      <c r="AT161" s="0" t="n">
        <f aca="false">MIN(Assumptions!$B$29,AS161)</f>
        <v>36</v>
      </c>
      <c r="AU161" s="0" t="n">
        <f aca="false">IF(AS161&gt;=Assumptions!$B$29,0,-PV(Assumptions!$B$5,Assumptions!$B$29-AS161,AR161))</f>
        <v>0</v>
      </c>
      <c r="AV161" s="1" t="n">
        <f aca="false">(-PV(Assumptions!$B$3,AT161,AR161))/POWER(1+Assumptions!$B$2,AH161)</f>
        <v>21026.60959592</v>
      </c>
      <c r="AW161" s="1" t="n">
        <f aca="false">-PV(Assumptions!$B$2,AH161,T161+AI161)</f>
        <v>5318.41766002654</v>
      </c>
      <c r="AX161" s="1" t="n">
        <f aca="false">(-PV(Assumptions!$B$2,C161,S161))-(-PV(Assumptions!$B$2,AH161,S161))</f>
        <v>8919.48888629116</v>
      </c>
      <c r="AY161" s="1" t="n">
        <f aca="false">AJ161+AW161+AX161+(-PV(Assumptions!$B$2,C161,R161))+X161-(W161/POWER(1+Assumptions!$B$2,C161))</f>
        <v>43039.3763347833</v>
      </c>
      <c r="AZ161" s="1" t="n">
        <f aca="false">AY161+AV161+(AU161/POWER(1+Assumptions!$B$2,C161))</f>
        <v>64065.9859307033</v>
      </c>
      <c r="BA161" s="0" t="n">
        <f aca="false">AQ161/POWER(1+Assumptions!$B$2,AH161)</f>
        <v>20320.9202302655</v>
      </c>
      <c r="BB161" s="1" t="n">
        <f aca="false">AY161+BA161</f>
        <v>63360.2965650488</v>
      </c>
      <c r="BC161" s="1" t="n">
        <f aca="false">AJ161+Assumptions!$B$28/POWER(1+Assumptions!$B$2,AH161)+(-PV(Assumptions!$B$2,AH161,R161+T161+AI161))</f>
        <v>33162.7138298657</v>
      </c>
      <c r="BD161" s="1" t="n">
        <f aca="false">MIN(Z161,AG161,AZ161)</f>
        <v>58033.1771816706</v>
      </c>
      <c r="BE161" s="0" t="str">
        <f aca="false">IF(BD161=Z161,"Cash",IF(BD161=AG161,"Loan","Lease then buy out"))</f>
        <v>Cash</v>
      </c>
    </row>
    <row r="162" customFormat="false" ht="15" hidden="false" customHeight="false" outlineLevel="0" collapsed="false">
      <c r="A162" s="0" t="s">
        <v>58</v>
      </c>
      <c r="B162" s="0" t="s">
        <v>61</v>
      </c>
      <c r="C162" s="0" t="n">
        <v>10</v>
      </c>
      <c r="D162" s="0" t="n">
        <v>0</v>
      </c>
      <c r="E162" s="0" t="n">
        <v>31190</v>
      </c>
      <c r="F162" s="0" t="n">
        <v>1168</v>
      </c>
      <c r="G162" s="0" t="n">
        <v>418</v>
      </c>
      <c r="H162" s="0" t="n">
        <v>36</v>
      </c>
      <c r="I162" s="0" t="n">
        <v>30</v>
      </c>
      <c r="J162" s="0" t="n">
        <v>11145</v>
      </c>
      <c r="K162" s="0" t="s">
        <v>35</v>
      </c>
      <c r="L162" s="0" t="n">
        <v>149.3</v>
      </c>
      <c r="M162" s="0" t="n">
        <f aca="false">MAX(Assumptions!$B$33,Assumptions!$B$30-Assumptions!$B$31*(H162-36)-IF(D162=1,Assumptions!$B$32,0))</f>
        <v>0.57</v>
      </c>
      <c r="N162" s="0" t="n">
        <f aca="false">E162*M162</f>
        <v>17778.3</v>
      </c>
      <c r="O162" s="0" t="n">
        <f aca="false">1-POWER(J162/E162,0.1)</f>
        <v>0.0977924236267148</v>
      </c>
      <c r="P162" s="0" t="n">
        <f aca="false">E162*(1+Assumptions!$B$8)+Assumptions!$B$9</f>
        <v>33149.5</v>
      </c>
      <c r="Q162" s="0" t="n">
        <f aca="false">IF(D162=1,Assumptions!$B$14*33.7,Assumptions!$B$13)</f>
        <v>3.1</v>
      </c>
      <c r="R162" s="0" t="n">
        <f aca="false">(Assumptions!$B$10/I162)*Q162</f>
        <v>1033.33333333333</v>
      </c>
      <c r="S162" s="0" t="n">
        <f aca="false">Assumptions!$B$15+Assumptions!$B$17</f>
        <v>1750</v>
      </c>
      <c r="T162" s="0" t="n">
        <f aca="false">Assumptions!$B$15*(1+Assumptions!$B$16)+Assumptions!$B$17</f>
        <v>1942</v>
      </c>
      <c r="U162" s="0" t="n">
        <f aca="false">IF(OR(C162&gt;Assumptions!$B$11,Assumptions!$B$10*C162&gt;Assumptions!$B$12),1,0)</f>
        <v>0</v>
      </c>
      <c r="V162" s="0" t="n">
        <f aca="false">MAX(0.6,1-Assumptions!$B$22*MAX(0,(Assumptions!$B$10-10000)*C162)/10000)</f>
        <v>1</v>
      </c>
      <c r="W162" s="0" t="n">
        <f aca="false">IF(U162=1,Assumptions!$B$23,MAX(Assumptions!$B$23,E162*POWER(1-O162,C162)*V162))</f>
        <v>11145</v>
      </c>
      <c r="X162" s="0" t="n">
        <f aca="true">SUMPRODUCT((ROW(INDIRECT("1:"&amp;C162))&gt;Assumptions!$B$20)*Assumptions!$B$18*POWER(Assumptions!$B$19,ROW(INDIRECT("1:"&amp;C162))-Assumptions!$B$20-1)*IF(ROW(INDIRECT("1:"&amp;C162))&gt;Assumptions!$B$11,Assumptions!$B$21,1)/POWER(1+Assumptions!$B$2,ROW(INDIRECT("1:"&amp;C162))))</f>
        <v>7070.12417022456</v>
      </c>
      <c r="Y162" s="1" t="n">
        <f aca="false">-PV(Assumptions!$B$2,C162,R162+S162)+X162</f>
        <v>28878.8764619777</v>
      </c>
      <c r="Z162" s="1" t="n">
        <f aca="false">P162+Y162-(W162/POWER(1+Assumptions!$B$2,C162))</f>
        <v>54987.7183476201</v>
      </c>
      <c r="AA162" s="0" t="n">
        <f aca="false">P162*Assumptions!$B$7</f>
        <v>3314.95</v>
      </c>
      <c r="AB162" s="0" t="n">
        <f aca="false">P162-AA162</f>
        <v>29834.55</v>
      </c>
      <c r="AC162" s="1" t="n">
        <f aca="false">PMT(Assumptions!$B$5,Assumptions!$B$6,-AB162)</f>
        <v>590.619098137482</v>
      </c>
      <c r="AD162" s="0" t="n">
        <f aca="false">C162*12</f>
        <v>120</v>
      </c>
      <c r="AE162" s="0" t="n">
        <f aca="false">MIN(Assumptions!$B$6,AD162)</f>
        <v>60</v>
      </c>
      <c r="AF162" s="0" t="n">
        <f aca="false">IF(AD162&gt;=Assumptions!$B$6,0,-PV(Assumptions!$B$5,Assumptions!$B$6-AD162,AC162))</f>
        <v>0</v>
      </c>
      <c r="AG162" s="1" t="n">
        <f aca="false">AA162+(-PV(Assumptions!$B$3,AE162,AC162))+Y162-((W162-AF162)/POWER(1+Assumptions!$B$2,C162))</f>
        <v>56679.5894915061</v>
      </c>
      <c r="AH162" s="0" t="n">
        <f aca="false">H162/12</f>
        <v>3</v>
      </c>
      <c r="AI162" s="0" t="n">
        <f aca="false">MAX(0,Assumptions!$B$10-Assumptions!$B$24)*Assumptions!$B$25</f>
        <v>0</v>
      </c>
      <c r="AJ162" s="1" t="n">
        <f aca="false">F162+Assumptions!$B$27+(-PV(Assumptions!$B$3,H162-1,G162))</f>
        <v>15514.6094300784</v>
      </c>
      <c r="AK162" s="0" t="n">
        <f aca="false">CEILING(C162/AH162,1)</f>
        <v>4</v>
      </c>
      <c r="AL162" s="0" t="n">
        <f aca="false">(1+Assumptions!$B$26)/POWER(1+Assumptions!$B$2,AH162)</f>
        <v>0.906135810905202</v>
      </c>
      <c r="AM162" s="0" t="n">
        <f aca="false">IF(ABS(1-AL162)&lt;0.000000000001,AK162,(1-POWER(AL162,AK162))/(1-AL162))</f>
        <v>3.47122982028551</v>
      </c>
      <c r="AN162" s="0" t="n">
        <f aca="false">1/POWER(1+Assumptions!$B$2,AH162)</f>
        <v>0.871284433562695</v>
      </c>
      <c r="AO162" s="0" t="n">
        <f aca="false">IF(ABS(1-AN162)&lt;0.000000000001,AK162,AN162*(1-POWER(AN162,AK162))/(1-AN162))</f>
        <v>2.86813319209759</v>
      </c>
      <c r="AP162" s="1" t="n">
        <f aca="false">AJ162*AM162+Assumptions!$B$28*AO162+(-PV(Assumptions!$B$2,C162,R162+T162+AI162))</f>
        <v>78315.192606501</v>
      </c>
      <c r="AQ162" s="0" t="n">
        <f aca="false">N162*(1+Assumptions!$B$8)</f>
        <v>18667.215</v>
      </c>
      <c r="AR162" s="1" t="n">
        <f aca="false">PMT(Assumptions!$B$5,Assumptions!$B$29,-AQ162)</f>
        <v>576.304060157455</v>
      </c>
      <c r="AS162" s="0" t="n">
        <f aca="false">MAX(0,AD162-H162)</f>
        <v>84</v>
      </c>
      <c r="AT162" s="0" t="n">
        <f aca="false">MIN(Assumptions!$B$29,AS162)</f>
        <v>36</v>
      </c>
      <c r="AU162" s="0" t="n">
        <f aca="false">IF(AS162&gt;=Assumptions!$B$29,0,-PV(Assumptions!$B$5,Assumptions!$B$29-AS162,AR162))</f>
        <v>0</v>
      </c>
      <c r="AV162" s="1" t="n">
        <f aca="false">(-PV(Assumptions!$B$3,AT162,AR162))/POWER(1+Assumptions!$B$2,AH162)</f>
        <v>16829.2733530946</v>
      </c>
      <c r="AW162" s="1" t="n">
        <f aca="false">-PV(Assumptions!$B$2,AH162,T162+AI162)</f>
        <v>5318.41766002654</v>
      </c>
      <c r="AX162" s="1" t="n">
        <f aca="false">(-PV(Assumptions!$B$2,C162,S162))-(-PV(Assumptions!$B$2,AH162,S162))</f>
        <v>8919.48888629116</v>
      </c>
      <c r="AY162" s="1" t="n">
        <f aca="false">AJ162+AW162+AX162+(-PV(Assumptions!$B$2,C162,R162))+X162-(W162/POWER(1+Assumptions!$B$2,C162))</f>
        <v>37878.6445597403</v>
      </c>
      <c r="AZ162" s="1" t="n">
        <f aca="false">AY162+AV162+(AU162/POWER(1+Assumptions!$B$2,C162))</f>
        <v>54707.917912835</v>
      </c>
      <c r="BA162" s="0" t="n">
        <f aca="false">AQ162/POWER(1+Assumptions!$B$2,AH162)</f>
        <v>16264.453847468</v>
      </c>
      <c r="BB162" s="1" t="n">
        <f aca="false">AY162+BA162</f>
        <v>54143.0984072083</v>
      </c>
      <c r="BC162" s="1" t="n">
        <f aca="false">AJ162+Assumptions!$B$28/POWER(1+Assumptions!$B$2,AH162)+(-PV(Assumptions!$B$2,AH162,R162+T162+AI162))</f>
        <v>24011.4575724353</v>
      </c>
      <c r="BD162" s="1" t="n">
        <f aca="false">MIN(Z162,AG162,AZ162)</f>
        <v>54707.917912835</v>
      </c>
      <c r="BE162" s="0" t="str">
        <f aca="false">IF(BD162=Z162,"Cash",IF(BD162=AG162,"Loan","Lease then buy out"))</f>
        <v>Lease then buy out</v>
      </c>
    </row>
    <row r="163" customFormat="false" ht="15" hidden="false" customHeight="false" outlineLevel="0" collapsed="false">
      <c r="A163" s="0" t="s">
        <v>46</v>
      </c>
      <c r="B163" s="0" t="s">
        <v>62</v>
      </c>
      <c r="C163" s="0" t="n">
        <v>10</v>
      </c>
      <c r="D163" s="0" t="n">
        <v>0</v>
      </c>
      <c r="E163" s="0" t="n">
        <v>29919</v>
      </c>
      <c r="F163" s="0" t="n">
        <v>2853</v>
      </c>
      <c r="G163" s="0" t="n">
        <v>353</v>
      </c>
      <c r="H163" s="0" t="n">
        <v>36</v>
      </c>
      <c r="I163" s="0" t="n">
        <v>25</v>
      </c>
      <c r="J163" s="0" t="n">
        <v>8341</v>
      </c>
      <c r="K163" s="0" t="s">
        <v>35</v>
      </c>
      <c r="L163" s="0" t="n">
        <v>163.7</v>
      </c>
      <c r="M163" s="0" t="n">
        <f aca="false">MAX(Assumptions!$B$33,Assumptions!$B$30-Assumptions!$B$31*(H163-36)-IF(D163=1,Assumptions!$B$32,0))</f>
        <v>0.57</v>
      </c>
      <c r="N163" s="0" t="n">
        <f aca="false">E163*M163</f>
        <v>17053.83</v>
      </c>
      <c r="O163" s="0" t="n">
        <f aca="false">1-POWER(J163/E163,0.1)</f>
        <v>0.119909962746428</v>
      </c>
      <c r="P163" s="0" t="n">
        <f aca="false">E163*(1+Assumptions!$B$8)+Assumptions!$B$9</f>
        <v>31814.95</v>
      </c>
      <c r="Q163" s="0" t="n">
        <f aca="false">IF(D163=1,Assumptions!$B$14*33.7,Assumptions!$B$13)</f>
        <v>3.1</v>
      </c>
      <c r="R163" s="0" t="n">
        <f aca="false">(Assumptions!$B$10/I163)*Q163</f>
        <v>1240</v>
      </c>
      <c r="S163" s="0" t="n">
        <f aca="false">Assumptions!$B$15+Assumptions!$B$17</f>
        <v>1750</v>
      </c>
      <c r="T163" s="0" t="n">
        <f aca="false">Assumptions!$B$15*(1+Assumptions!$B$16)+Assumptions!$B$17</f>
        <v>1942</v>
      </c>
      <c r="U163" s="0" t="n">
        <f aca="false">IF(OR(C163&gt;Assumptions!$B$11,Assumptions!$B$10*C163&gt;Assumptions!$B$12),1,0)</f>
        <v>0</v>
      </c>
      <c r="V163" s="0" t="n">
        <f aca="false">MAX(0.6,1-Assumptions!$B$22*MAX(0,(Assumptions!$B$10-10000)*C163)/10000)</f>
        <v>1</v>
      </c>
      <c r="W163" s="0" t="n">
        <f aca="false">IF(U163=1,Assumptions!$B$23,MAX(Assumptions!$B$23,E163*POWER(1-O163,C163)*V163))</f>
        <v>8341</v>
      </c>
      <c r="X163" s="0" t="n">
        <f aca="true">SUMPRODUCT((ROW(INDIRECT("1:"&amp;C163))&gt;Assumptions!$B$20)*Assumptions!$B$18*POWER(Assumptions!$B$19,ROW(INDIRECT("1:"&amp;C163))-Assumptions!$B$20-1)*IF(ROW(INDIRECT("1:"&amp;C163))&gt;Assumptions!$B$11,Assumptions!$B$21,1)/POWER(1+Assumptions!$B$2,ROW(INDIRECT("1:"&amp;C163))))</f>
        <v>7070.12417022456</v>
      </c>
      <c r="Y163" s="1" t="n">
        <f aca="false">-PV(Assumptions!$B$2,C163,R163+S163)+X163</f>
        <v>30498.2089674732</v>
      </c>
      <c r="Z163" s="1" t="n">
        <f aca="false">P163+Y163-(W163/POWER(1+Assumptions!$B$2,C163))</f>
        <v>57043.8786326274</v>
      </c>
      <c r="AA163" s="0" t="n">
        <f aca="false">P163*Assumptions!$B$7</f>
        <v>3181.495</v>
      </c>
      <c r="AB163" s="0" t="n">
        <f aca="false">P163-AA163</f>
        <v>28633.455</v>
      </c>
      <c r="AC163" s="1" t="n">
        <f aca="false">PMT(Assumptions!$B$5,Assumptions!$B$6,-AB163)</f>
        <v>566.841643955085</v>
      </c>
      <c r="AD163" s="0" t="n">
        <f aca="false">C163*12</f>
        <v>120</v>
      </c>
      <c r="AE163" s="0" t="n">
        <f aca="false">MIN(Assumptions!$B$6,AD163)</f>
        <v>60</v>
      </c>
      <c r="AF163" s="0" t="n">
        <f aca="false">IF(AD163&gt;=Assumptions!$B$6,0,-PV(Assumptions!$B$5,Assumptions!$B$6-AD163,AC163))</f>
        <v>0</v>
      </c>
      <c r="AG163" s="1" t="n">
        <f aca="false">AA163+(-PV(Assumptions!$B$3,AE163,AC163))+Y163-((W163-AF163)/POWER(1+Assumptions!$B$2,C163))</f>
        <v>58667.6375384683</v>
      </c>
      <c r="AH163" s="0" t="n">
        <f aca="false">H163/12</f>
        <v>3</v>
      </c>
      <c r="AI163" s="0" t="n">
        <f aca="false">MAX(0,Assumptions!$B$10-Assumptions!$B$24)*Assumptions!$B$25</f>
        <v>0</v>
      </c>
      <c r="AJ163" s="1" t="n">
        <f aca="false">F163+Assumptions!$B$27+(-PV(Assumptions!$B$3,H163-1,G163))</f>
        <v>15077.5290163103</v>
      </c>
      <c r="AK163" s="0" t="n">
        <f aca="false">CEILING(C163/AH163,1)</f>
        <v>4</v>
      </c>
      <c r="AL163" s="0" t="n">
        <f aca="false">(1+Assumptions!$B$26)/POWER(1+Assumptions!$B$2,AH163)</f>
        <v>0.906135810905202</v>
      </c>
      <c r="AM163" s="0" t="n">
        <f aca="false">IF(ABS(1-AL163)&lt;0.000000000001,AK163,(1-POWER(AL163,AK163))/(1-AL163))</f>
        <v>3.47122982028551</v>
      </c>
      <c r="AN163" s="0" t="n">
        <f aca="false">1/POWER(1+Assumptions!$B$2,AH163)</f>
        <v>0.871284433562695</v>
      </c>
      <c r="AO163" s="0" t="n">
        <f aca="false">IF(ABS(1-AN163)&lt;0.000000000001,AK163,AN163*(1-POWER(AN163,AK163))/(1-AN163))</f>
        <v>2.86813319209759</v>
      </c>
      <c r="AP163" s="1" t="n">
        <f aca="false">AJ163*AM163+Assumptions!$B$28*AO163+(-PV(Assumptions!$B$2,C163,R163+T163+AI163))</f>
        <v>78417.3185458616</v>
      </c>
      <c r="AQ163" s="0" t="n">
        <f aca="false">N163*(1+Assumptions!$B$8)</f>
        <v>17906.5215</v>
      </c>
      <c r="AR163" s="1" t="n">
        <f aca="false">PMT(Assumptions!$B$5,Assumptions!$B$29,-AQ163)</f>
        <v>552.819531126992</v>
      </c>
      <c r="AS163" s="0" t="n">
        <f aca="false">MAX(0,AD163-H163)</f>
        <v>84</v>
      </c>
      <c r="AT163" s="0" t="n">
        <f aca="false">MIN(Assumptions!$B$29,AS163)</f>
        <v>36</v>
      </c>
      <c r="AU163" s="0" t="n">
        <f aca="false">IF(AS163&gt;=Assumptions!$B$29,0,-PV(Assumptions!$B$5,Assumptions!$B$29-AS163,AR163))</f>
        <v>0</v>
      </c>
      <c r="AV163" s="1" t="n">
        <f aca="false">(-PV(Assumptions!$B$3,AT163,AR163))/POWER(1+Assumptions!$B$2,AH163)</f>
        <v>16143.4764171606</v>
      </c>
      <c r="AW163" s="1" t="n">
        <f aca="false">-PV(Assumptions!$B$2,AH163,T163+AI163)</f>
        <v>5318.41766002654</v>
      </c>
      <c r="AX163" s="1" t="n">
        <f aca="false">(-PV(Assumptions!$B$2,C163,S163))-(-PV(Assumptions!$B$2,AH163,S163))</f>
        <v>8919.48888629116</v>
      </c>
      <c r="AY163" s="1" t="n">
        <f aca="false">AJ163+AW163+AX163+(-PV(Assumptions!$B$2,C163,R163))+X163-(W163/POWER(1+Assumptions!$B$2,C163))</f>
        <v>40832.2744309794</v>
      </c>
      <c r="AZ163" s="1" t="n">
        <f aca="false">AY163+AV163+(AU163/POWER(1+Assumptions!$B$2,C163))</f>
        <v>56975.75084814</v>
      </c>
      <c r="BA163" s="0" t="n">
        <f aca="false">AQ163/POWER(1+Assumptions!$B$2,AH163)</f>
        <v>15601.6734422057</v>
      </c>
      <c r="BB163" s="1" t="n">
        <f aca="false">AY163+BA163</f>
        <v>56433.9478731851</v>
      </c>
      <c r="BC163" s="1" t="n">
        <f aca="false">AJ163+Assumptions!$B$28/POWER(1+Assumptions!$B$2,AH163)+(-PV(Assumptions!$B$2,AH163,R163+T163+AI163))</f>
        <v>24140.3605004482</v>
      </c>
      <c r="BD163" s="1" t="n">
        <f aca="false">MIN(Z163,AG163,AZ163)</f>
        <v>56975.75084814</v>
      </c>
      <c r="BE163" s="0" t="str">
        <f aca="false">IF(BD163=Z163,"Cash",IF(BD163=AG163,"Loan","Lease then buy out"))</f>
        <v>Lease then buy out</v>
      </c>
    </row>
    <row r="164" customFormat="false" ht="15" hidden="false" customHeight="false" outlineLevel="0" collapsed="false">
      <c r="A164" s="0" t="s">
        <v>63</v>
      </c>
      <c r="B164" s="0" t="s">
        <v>64</v>
      </c>
      <c r="C164" s="0" t="n">
        <v>10</v>
      </c>
      <c r="D164" s="0" t="n">
        <v>0</v>
      </c>
      <c r="E164" s="0" t="n">
        <v>31835</v>
      </c>
      <c r="F164" s="0" t="n">
        <v>3436</v>
      </c>
      <c r="G164" s="0" t="n">
        <v>436</v>
      </c>
      <c r="H164" s="0" t="n">
        <v>36</v>
      </c>
      <c r="I164" s="0" t="n">
        <v>25</v>
      </c>
      <c r="J164" s="0" t="n">
        <v>13252</v>
      </c>
      <c r="K164" s="0" t="s">
        <v>35</v>
      </c>
      <c r="L164" s="0" t="n">
        <v>162.4</v>
      </c>
      <c r="M164" s="0" t="n">
        <f aca="false">MAX(Assumptions!$B$33,Assumptions!$B$30-Assumptions!$B$31*(H164-36)-IF(D164=1,Assumptions!$B$32,0))</f>
        <v>0.57</v>
      </c>
      <c r="N164" s="0" t="n">
        <f aca="false">E164*M164</f>
        <v>18145.95</v>
      </c>
      <c r="O164" s="0" t="n">
        <f aca="false">1-POWER(J164/E164,0.1)</f>
        <v>0.0839110233119911</v>
      </c>
      <c r="P164" s="0" t="n">
        <f aca="false">E164*(1+Assumptions!$B$8)+Assumptions!$B$9</f>
        <v>33826.75</v>
      </c>
      <c r="Q164" s="0" t="n">
        <f aca="false">IF(D164=1,Assumptions!$B$14*33.7,Assumptions!$B$13)</f>
        <v>3.1</v>
      </c>
      <c r="R164" s="0" t="n">
        <f aca="false">(Assumptions!$B$10/I164)*Q164</f>
        <v>1240</v>
      </c>
      <c r="S164" s="0" t="n">
        <f aca="false">Assumptions!$B$15+Assumptions!$B$17</f>
        <v>1750</v>
      </c>
      <c r="T164" s="0" t="n">
        <f aca="false">Assumptions!$B$15*(1+Assumptions!$B$16)+Assumptions!$B$17</f>
        <v>1942</v>
      </c>
      <c r="U164" s="0" t="n">
        <f aca="false">IF(OR(C164&gt;Assumptions!$B$11,Assumptions!$B$10*C164&gt;Assumptions!$B$12),1,0)</f>
        <v>0</v>
      </c>
      <c r="V164" s="0" t="n">
        <f aca="false">MAX(0.6,1-Assumptions!$B$22*MAX(0,(Assumptions!$B$10-10000)*C164)/10000)</f>
        <v>1</v>
      </c>
      <c r="W164" s="0" t="n">
        <f aca="false">IF(U164=1,Assumptions!$B$23,MAX(Assumptions!$B$23,E164*POWER(1-O164,C164)*V164))</f>
        <v>13252</v>
      </c>
      <c r="X164" s="0" t="n">
        <f aca="true">SUMPRODUCT((ROW(INDIRECT("1:"&amp;C164))&gt;Assumptions!$B$20)*Assumptions!$B$18*POWER(Assumptions!$B$19,ROW(INDIRECT("1:"&amp;C164))-Assumptions!$B$20-1)*IF(ROW(INDIRECT("1:"&amp;C164))&gt;Assumptions!$B$11,Assumptions!$B$21,1)/POWER(1+Assumptions!$B$2,ROW(INDIRECT("1:"&amp;C164))))</f>
        <v>7070.12417022456</v>
      </c>
      <c r="Y164" s="1" t="n">
        <f aca="false">-PV(Assumptions!$B$2,C164,R164+S164)+X164</f>
        <v>30498.2089674732</v>
      </c>
      <c r="Z164" s="1" t="n">
        <f aca="false">P164+Y164-(W164/POWER(1+Assumptions!$B$2,C164))</f>
        <v>55953.2405886964</v>
      </c>
      <c r="AA164" s="0" t="n">
        <f aca="false">P164*Assumptions!$B$7</f>
        <v>3382.675</v>
      </c>
      <c r="AB164" s="0" t="n">
        <f aca="false">P164-AA164</f>
        <v>30444.075</v>
      </c>
      <c r="AC164" s="1" t="n">
        <f aca="false">PMT(Assumptions!$B$5,Assumptions!$B$6,-AB164)</f>
        <v>602.68554813563</v>
      </c>
      <c r="AD164" s="0" t="n">
        <f aca="false">C164*12</f>
        <v>120</v>
      </c>
      <c r="AE164" s="0" t="n">
        <f aca="false">MIN(Assumptions!$B$6,AD164)</f>
        <v>60</v>
      </c>
      <c r="AF164" s="0" t="n">
        <f aca="false">IF(AD164&gt;=Assumptions!$B$6,0,-PV(Assumptions!$B$5,Assumptions!$B$6-AD164,AC164))</f>
        <v>0</v>
      </c>
      <c r="AG164" s="1" t="n">
        <f aca="false">AA164+(-PV(Assumptions!$B$3,AE164,AC164))+Y164-((W164-AF164)/POWER(1+Assumptions!$B$2,C164))</f>
        <v>57679.6769517319</v>
      </c>
      <c r="AH164" s="0" t="n">
        <f aca="false">H164/12</f>
        <v>3</v>
      </c>
      <c r="AI164" s="0" t="n">
        <f aca="false">MAX(0,Assumptions!$B$10-Assumptions!$B$24)*Assumptions!$B$25</f>
        <v>0</v>
      </c>
      <c r="AJ164" s="1" t="n">
        <f aca="false">F164+Assumptions!$B$27+(-PV(Assumptions!$B$3,H164-1,G164))</f>
        <v>18370.2624677373</v>
      </c>
      <c r="AK164" s="0" t="n">
        <f aca="false">CEILING(C164/AH164,1)</f>
        <v>4</v>
      </c>
      <c r="AL164" s="0" t="n">
        <f aca="false">(1+Assumptions!$B$26)/POWER(1+Assumptions!$B$2,AH164)</f>
        <v>0.906135810905202</v>
      </c>
      <c r="AM164" s="0" t="n">
        <f aca="false">IF(ABS(1-AL164)&lt;0.000000000001,AK164,(1-POWER(AL164,AK164))/(1-AL164))</f>
        <v>3.47122982028551</v>
      </c>
      <c r="AN164" s="0" t="n">
        <f aca="false">1/POWER(1+Assumptions!$B$2,AH164)</f>
        <v>0.871284433562695</v>
      </c>
      <c r="AO164" s="0" t="n">
        <f aca="false">IF(ABS(1-AN164)&lt;0.000000000001,AK164,AN164*(1-POWER(AN164,AK164))/(1-AN164))</f>
        <v>2.86813319209759</v>
      </c>
      <c r="AP164" s="1" t="n">
        <f aca="false">AJ164*AM164+Assumptions!$B$28*AO164+(-PV(Assumptions!$B$2,C164,R164+T164+AI164))</f>
        <v>89847.1530927068</v>
      </c>
      <c r="AQ164" s="0" t="n">
        <f aca="false">N164*(1+Assumptions!$B$8)</f>
        <v>19053.2475</v>
      </c>
      <c r="AR164" s="1" t="n">
        <f aca="false">PMT(Assumptions!$B$5,Assumptions!$B$29,-AQ164)</f>
        <v>588.221858131214</v>
      </c>
      <c r="AS164" s="0" t="n">
        <f aca="false">MAX(0,AD164-H164)</f>
        <v>84</v>
      </c>
      <c r="AT164" s="0" t="n">
        <f aca="false">MIN(Assumptions!$B$29,AS164)</f>
        <v>36</v>
      </c>
      <c r="AU164" s="0" t="n">
        <f aca="false">IF(AS164&gt;=Assumptions!$B$29,0,-PV(Assumptions!$B$5,Assumptions!$B$29-AS164,AR164))</f>
        <v>0</v>
      </c>
      <c r="AV164" s="1" t="n">
        <f aca="false">(-PV(Assumptions!$B$3,AT164,AR164))/POWER(1+Assumptions!$B$2,AH164)</f>
        <v>17177.2977619676</v>
      </c>
      <c r="AW164" s="1" t="n">
        <f aca="false">-PV(Assumptions!$B$2,AH164,T164+AI164)</f>
        <v>5318.41766002654</v>
      </c>
      <c r="AX164" s="1" t="n">
        <f aca="false">(-PV(Assumptions!$B$2,C164,S164))-(-PV(Assumptions!$B$2,AH164,S164))</f>
        <v>8919.48888629116</v>
      </c>
      <c r="AY164" s="1" t="n">
        <f aca="false">AJ164+AW164+AX164+(-PV(Assumptions!$B$2,C164,R164))+X164-(W164/POWER(1+Assumptions!$B$2,C164))</f>
        <v>41022.5698384755</v>
      </c>
      <c r="AZ164" s="1" t="n">
        <f aca="false">AY164+AV164+(AU164/POWER(1+Assumptions!$B$2,C164))</f>
        <v>58199.8676004431</v>
      </c>
      <c r="BA164" s="0" t="n">
        <f aca="false">AQ164/POWER(1+Assumptions!$B$2,AH164)</f>
        <v>16600.7979555673</v>
      </c>
      <c r="BB164" s="1" t="n">
        <f aca="false">AY164+BA164</f>
        <v>57623.3677940428</v>
      </c>
      <c r="BC164" s="1" t="n">
        <f aca="false">AJ164+Assumptions!$B$28/POWER(1+Assumptions!$B$2,AH164)+(-PV(Assumptions!$B$2,AH164,R164+T164+AI164))</f>
        <v>27433.0939518753</v>
      </c>
      <c r="BD164" s="1" t="n">
        <f aca="false">MIN(Z164,AG164,AZ164)</f>
        <v>55953.2405886964</v>
      </c>
      <c r="BE164" s="0" t="str">
        <f aca="false">IF(BD164=Z164,"Cash",IF(BD164=AG164,"Loan","Lease then buy out"))</f>
        <v>Cash</v>
      </c>
    </row>
    <row r="165" customFormat="false" ht="15" hidden="false" customHeight="false" outlineLevel="0" collapsed="false">
      <c r="A165" s="0" t="s">
        <v>58</v>
      </c>
      <c r="B165" s="0" t="s">
        <v>65</v>
      </c>
      <c r="C165" s="0" t="n">
        <v>10</v>
      </c>
      <c r="D165" s="0" t="n">
        <v>0</v>
      </c>
      <c r="E165" s="0" t="n">
        <v>43095</v>
      </c>
      <c r="F165" s="0" t="n">
        <v>5170</v>
      </c>
      <c r="G165" s="0" t="n">
        <v>426</v>
      </c>
      <c r="H165" s="0" t="n">
        <v>36</v>
      </c>
      <c r="I165" s="0" t="n">
        <v>39</v>
      </c>
      <c r="J165" s="0" t="n">
        <v>15817</v>
      </c>
      <c r="K165" s="0" t="s">
        <v>35</v>
      </c>
      <c r="L165" s="0" t="n">
        <v>168.7</v>
      </c>
      <c r="M165" s="0" t="n">
        <f aca="false">MAX(Assumptions!$B$33,Assumptions!$B$30-Assumptions!$B$31*(H165-36)-IF(D165=1,Assumptions!$B$32,0))</f>
        <v>0.57</v>
      </c>
      <c r="N165" s="0" t="n">
        <f aca="false">E165*M165</f>
        <v>24564.15</v>
      </c>
      <c r="O165" s="0" t="n">
        <f aca="false">1-POWER(J165/E165,0.1)</f>
        <v>0.0953726309793821</v>
      </c>
      <c r="P165" s="0" t="n">
        <f aca="false">E165*(1+Assumptions!$B$8)+Assumptions!$B$9</f>
        <v>45649.75</v>
      </c>
      <c r="Q165" s="0" t="n">
        <f aca="false">IF(D165=1,Assumptions!$B$14*33.7,Assumptions!$B$13)</f>
        <v>3.1</v>
      </c>
      <c r="R165" s="0" t="n">
        <f aca="false">(Assumptions!$B$10/I165)*Q165</f>
        <v>794.871794871795</v>
      </c>
      <c r="S165" s="0" t="n">
        <f aca="false">Assumptions!$B$15+Assumptions!$B$17</f>
        <v>1750</v>
      </c>
      <c r="T165" s="0" t="n">
        <f aca="false">Assumptions!$B$15*(1+Assumptions!$B$16)+Assumptions!$B$17</f>
        <v>1942</v>
      </c>
      <c r="U165" s="0" t="n">
        <f aca="false">IF(OR(C165&gt;Assumptions!$B$11,Assumptions!$B$10*C165&gt;Assumptions!$B$12),1,0)</f>
        <v>0</v>
      </c>
      <c r="V165" s="0" t="n">
        <f aca="false">MAX(0.6,1-Assumptions!$B$22*MAX(0,(Assumptions!$B$10-10000)*C165)/10000)</f>
        <v>1</v>
      </c>
      <c r="W165" s="0" t="n">
        <f aca="false">IF(U165=1,Assumptions!$B$23,MAX(Assumptions!$B$23,E165*POWER(1-O165,C165)*V165))</f>
        <v>15817</v>
      </c>
      <c r="X165" s="0" t="n">
        <f aca="true">SUMPRODUCT((ROW(INDIRECT("1:"&amp;C165))&gt;Assumptions!$B$20)*Assumptions!$B$18*POWER(Assumptions!$B$19,ROW(INDIRECT("1:"&amp;C165))-Assumptions!$B$20-1)*IF(ROW(INDIRECT("1:"&amp;C165))&gt;Assumptions!$B$11,Assumptions!$B$21,1)/POWER(1+Assumptions!$B$2,ROW(INDIRECT("1:"&amp;C165))))</f>
        <v>7070.12417022456</v>
      </c>
      <c r="Y165" s="1" t="n">
        <f aca="false">-PV(Assumptions!$B$2,C165,R165+S165)+X165</f>
        <v>27010.4158787138</v>
      </c>
      <c r="Z165" s="1" t="n">
        <f aca="false">P165+Y165-(W165/POWER(1+Assumptions!$B$2,C165))</f>
        <v>62668.0537750983</v>
      </c>
      <c r="AA165" s="0" t="n">
        <f aca="false">P165*Assumptions!$B$7</f>
        <v>4564.975</v>
      </c>
      <c r="AB165" s="0" t="n">
        <f aca="false">P165-AA165</f>
        <v>41084.775</v>
      </c>
      <c r="AC165" s="1" t="n">
        <f aca="false">PMT(Assumptions!$B$5,Assumptions!$B$6,-AB165)</f>
        <v>813.333962056788</v>
      </c>
      <c r="AD165" s="0" t="n">
        <f aca="false">C165*12</f>
        <v>120</v>
      </c>
      <c r="AE165" s="0" t="n">
        <f aca="false">MIN(Assumptions!$B$6,AD165)</f>
        <v>60</v>
      </c>
      <c r="AF165" s="0" t="n">
        <f aca="false">IF(AD165&gt;=Assumptions!$B$6,0,-PV(Assumptions!$B$5,Assumptions!$B$6-AD165,AC165))</f>
        <v>0</v>
      </c>
      <c r="AG165" s="1" t="n">
        <f aca="false">AA165+(-PV(Assumptions!$B$3,AE165,AC165))+Y165-((W165-AF165)/POWER(1+Assumptions!$B$2,C165))</f>
        <v>64997.9077623563</v>
      </c>
      <c r="AH165" s="0" t="n">
        <f aca="false">H165/12</f>
        <v>3</v>
      </c>
      <c r="AI165" s="0" t="n">
        <f aca="false">MAX(0,Assumptions!$B$10-Assumptions!$B$24)*Assumptions!$B$25</f>
        <v>0</v>
      </c>
      <c r="AJ165" s="1" t="n">
        <f aca="false">F165+Assumptions!$B$27+(-PV(Assumptions!$B$3,H165-1,G165))</f>
        <v>19777.7885579268</v>
      </c>
      <c r="AK165" s="0" t="n">
        <f aca="false">CEILING(C165/AH165,1)</f>
        <v>4</v>
      </c>
      <c r="AL165" s="0" t="n">
        <f aca="false">(1+Assumptions!$B$26)/POWER(1+Assumptions!$B$2,AH165)</f>
        <v>0.906135810905202</v>
      </c>
      <c r="AM165" s="0" t="n">
        <f aca="false">IF(ABS(1-AL165)&lt;0.000000000001,AK165,(1-POWER(AL165,AK165))/(1-AL165))</f>
        <v>3.47122982028551</v>
      </c>
      <c r="AN165" s="0" t="n">
        <f aca="false">1/POWER(1+Assumptions!$B$2,AH165)</f>
        <v>0.871284433562695</v>
      </c>
      <c r="AO165" s="0" t="n">
        <f aca="false">IF(ABS(1-AN165)&lt;0.000000000001,AK165,AN165*(1-POWER(AN165,AK165))/(1-AN165))</f>
        <v>2.86813319209759</v>
      </c>
      <c r="AP165" s="1" t="n">
        <f aca="false">AJ165*AM165+Assumptions!$B$28*AO165+(-PV(Assumptions!$B$2,C165,R165+T165+AI165))</f>
        <v>91245.2065410431</v>
      </c>
      <c r="AQ165" s="0" t="n">
        <f aca="false">N165*(1+Assumptions!$B$8)</f>
        <v>25792.3575</v>
      </c>
      <c r="AR165" s="1" t="n">
        <f aca="false">PMT(Assumptions!$B$5,Assumptions!$B$29,-AQ165)</f>
        <v>796.275199502581</v>
      </c>
      <c r="AS165" s="0" t="n">
        <f aca="false">MAX(0,AD165-H165)</f>
        <v>84</v>
      </c>
      <c r="AT165" s="0" t="n">
        <f aca="false">MIN(Assumptions!$B$29,AS165)</f>
        <v>36</v>
      </c>
      <c r="AU165" s="0" t="n">
        <f aca="false">IF(AS165&gt;=Assumptions!$B$29,0,-PV(Assumptions!$B$5,Assumptions!$B$29-AS165,AR165))</f>
        <v>0</v>
      </c>
      <c r="AV165" s="1" t="n">
        <f aca="false">(-PV(Assumptions!$B$3,AT165,AR165))/POWER(1+Assumptions!$B$2,AH165)</f>
        <v>23252.8866672528</v>
      </c>
      <c r="AW165" s="1" t="n">
        <f aca="false">-PV(Assumptions!$B$2,AH165,T165+AI165)</f>
        <v>5318.41766002654</v>
      </c>
      <c r="AX165" s="1" t="n">
        <f aca="false">(-PV(Assumptions!$B$2,C165,S165))-(-PV(Assumptions!$B$2,AH165,S165))</f>
        <v>8919.48888629116</v>
      </c>
      <c r="AY165" s="1" t="n">
        <f aca="false">AJ165+AW165+AX165+(-PV(Assumptions!$B$2,C165,R165))+X165-(W165/POWER(1+Assumptions!$B$2,C165))</f>
        <v>37321.9091150669</v>
      </c>
      <c r="AZ165" s="1" t="n">
        <f aca="false">AY165+AV165+(AU165/POWER(1+Assumptions!$B$2,C165))</f>
        <v>60574.7957823197</v>
      </c>
      <c r="BA165" s="0" t="n">
        <f aca="false">AQ165/POWER(1+Assumptions!$B$2,AH165)</f>
        <v>22472.479594634</v>
      </c>
      <c r="BB165" s="1" t="n">
        <f aca="false">AY165+BA165</f>
        <v>59794.3887097009</v>
      </c>
      <c r="BC165" s="1" t="n">
        <f aca="false">AJ165+Assumptions!$B$28/POWER(1+Assumptions!$B$2,AH165)+(-PV(Assumptions!$B$2,AH165,R165+T165+AI165))</f>
        <v>27621.5789982287</v>
      </c>
      <c r="BD165" s="1" t="n">
        <f aca="false">MIN(Z165,AG165,AZ165)</f>
        <v>60574.7957823197</v>
      </c>
      <c r="BE165" s="0" t="str">
        <f aca="false">IF(BD165=Z165,"Cash",IF(BD165=AG165,"Loan","Lease then buy out"))</f>
        <v>Lease then buy out</v>
      </c>
    </row>
    <row r="166" customFormat="false" ht="15" hidden="false" customHeight="false" outlineLevel="0" collapsed="false">
      <c r="A166" s="0" t="s">
        <v>41</v>
      </c>
      <c r="B166" s="0" t="s">
        <v>66</v>
      </c>
      <c r="C166" s="0" t="n">
        <v>10</v>
      </c>
      <c r="D166" s="0" t="n">
        <v>0</v>
      </c>
      <c r="E166" s="0" t="n">
        <v>40145</v>
      </c>
      <c r="F166" s="0" t="n">
        <v>3495</v>
      </c>
      <c r="G166" s="0" t="n">
        <v>495</v>
      </c>
      <c r="H166" s="0" t="n">
        <v>36</v>
      </c>
      <c r="I166" s="0" t="n">
        <v>33</v>
      </c>
      <c r="J166" s="0" t="n">
        <v>12091</v>
      </c>
      <c r="K166" s="0" t="s">
        <v>35</v>
      </c>
      <c r="L166" s="0" t="n">
        <v>169.1</v>
      </c>
      <c r="M166" s="0" t="n">
        <f aca="false">MAX(Assumptions!$B$33,Assumptions!$B$30-Assumptions!$B$31*(H166-36)-IF(D166=1,Assumptions!$B$32,0))</f>
        <v>0.57</v>
      </c>
      <c r="N166" s="0" t="n">
        <f aca="false">E166*M166</f>
        <v>22882.65</v>
      </c>
      <c r="O166" s="0" t="n">
        <f aca="false">1-POWER(J166/E166,0.1)</f>
        <v>0.113082802793248</v>
      </c>
      <c r="P166" s="0" t="n">
        <f aca="false">E166*(1+Assumptions!$B$8)+Assumptions!$B$9</f>
        <v>42552.25</v>
      </c>
      <c r="Q166" s="0" t="n">
        <f aca="false">IF(D166=1,Assumptions!$B$14*33.7,Assumptions!$B$13)</f>
        <v>3.1</v>
      </c>
      <c r="R166" s="0" t="n">
        <f aca="false">(Assumptions!$B$10/I166)*Q166</f>
        <v>939.393939393939</v>
      </c>
      <c r="S166" s="0" t="n">
        <f aca="false">Assumptions!$B$15+Assumptions!$B$17</f>
        <v>1750</v>
      </c>
      <c r="T166" s="0" t="n">
        <f aca="false">Assumptions!$B$15*(1+Assumptions!$B$16)+Assumptions!$B$17</f>
        <v>1942</v>
      </c>
      <c r="U166" s="0" t="n">
        <f aca="false">IF(OR(C166&gt;Assumptions!$B$11,Assumptions!$B$10*C166&gt;Assumptions!$B$12),1,0)</f>
        <v>0</v>
      </c>
      <c r="V166" s="0" t="n">
        <f aca="false">MAX(0.6,1-Assumptions!$B$22*MAX(0,(Assumptions!$B$10-10000)*C166)/10000)</f>
        <v>1</v>
      </c>
      <c r="W166" s="0" t="n">
        <f aca="false">IF(U166=1,Assumptions!$B$23,MAX(Assumptions!$B$23,E166*POWER(1-O166,C166)*V166))</f>
        <v>12091</v>
      </c>
      <c r="X166" s="0" t="n">
        <f aca="true">SUMPRODUCT((ROW(INDIRECT("1:"&amp;C166))&gt;Assumptions!$B$20)*Assumptions!$B$18*POWER(Assumptions!$B$19,ROW(INDIRECT("1:"&amp;C166))-Assumptions!$B$20-1)*IF(ROW(INDIRECT("1:"&amp;C166))&gt;Assumptions!$B$11,Assumptions!$B$21,1)/POWER(1+Assumptions!$B$2,ROW(INDIRECT("1:"&amp;C166))))</f>
        <v>7070.12417022456</v>
      </c>
      <c r="Y166" s="1" t="n">
        <f aca="false">-PV(Assumptions!$B$2,C166,R166+S166)+X166</f>
        <v>28142.8162322071</v>
      </c>
      <c r="Z166" s="1" t="n">
        <f aca="false">P166+Y166-(W166/POWER(1+Assumptions!$B$2,C166))</f>
        <v>63056.7892236205</v>
      </c>
      <c r="AA166" s="0" t="n">
        <f aca="false">P166*Assumptions!$B$7</f>
        <v>4255.225</v>
      </c>
      <c r="AB166" s="0" t="n">
        <f aca="false">P166-AA166</f>
        <v>38297.025</v>
      </c>
      <c r="AC166" s="1" t="n">
        <f aca="false">PMT(Assumptions!$B$5,Assumptions!$B$6,-AB166)</f>
        <v>758.146322530375</v>
      </c>
      <c r="AD166" s="0" t="n">
        <f aca="false">C166*12</f>
        <v>120</v>
      </c>
      <c r="AE166" s="0" t="n">
        <f aca="false">MIN(Assumptions!$B$6,AD166)</f>
        <v>60</v>
      </c>
      <c r="AF166" s="0" t="n">
        <f aca="false">IF(AD166&gt;=Assumptions!$B$6,0,-PV(Assumptions!$B$5,Assumptions!$B$6-AD166,AC166))</f>
        <v>0</v>
      </c>
      <c r="AG166" s="1" t="n">
        <f aca="false">AA166+(-PV(Assumptions!$B$3,AE166,AC166))+Y166-((W166-AF166)/POWER(1+Assumptions!$B$2,C166))</f>
        <v>65228.5542240706</v>
      </c>
      <c r="AH166" s="0" t="n">
        <f aca="false">H166/12</f>
        <v>3</v>
      </c>
      <c r="AI166" s="0" t="n">
        <f aca="false">MAX(0,Assumptions!$B$10-Assumptions!$B$24)*Assumptions!$B$25</f>
        <v>0</v>
      </c>
      <c r="AJ166" s="1" t="n">
        <f aca="false">F166+Assumptions!$B$27+(-PV(Assumptions!$B$3,H166-1,G166))</f>
        <v>20355.4585356192</v>
      </c>
      <c r="AK166" s="0" t="n">
        <f aca="false">CEILING(C166/AH166,1)</f>
        <v>4</v>
      </c>
      <c r="AL166" s="0" t="n">
        <f aca="false">(1+Assumptions!$B$26)/POWER(1+Assumptions!$B$2,AH166)</f>
        <v>0.906135810905202</v>
      </c>
      <c r="AM166" s="0" t="n">
        <f aca="false">IF(ABS(1-AL166)&lt;0.000000000001,AK166,(1-POWER(AL166,AK166))/(1-AL166))</f>
        <v>3.47122982028551</v>
      </c>
      <c r="AN166" s="0" t="n">
        <f aca="false">1/POWER(1+Assumptions!$B$2,AH166)</f>
        <v>0.871284433562695</v>
      </c>
      <c r="AO166" s="0" t="n">
        <f aca="false">IF(ABS(1-AN166)&lt;0.000000000001,AK166,AN166*(1-POWER(AN166,AK166))/(1-AN166))</f>
        <v>2.86813319209759</v>
      </c>
      <c r="AP166" s="1" t="n">
        <f aca="false">AJ166*AM166+Assumptions!$B$28*AO166+(-PV(Assumptions!$B$2,C166,R166+T166+AI166))</f>
        <v>94382.8321473859</v>
      </c>
      <c r="AQ166" s="0" t="n">
        <f aca="false">N166*(1+Assumptions!$B$8)</f>
        <v>24026.7825</v>
      </c>
      <c r="AR166" s="1" t="n">
        <f aca="false">PMT(Assumptions!$B$5,Assumptions!$B$29,-AQ166)</f>
        <v>741.767441328022</v>
      </c>
      <c r="AS166" s="0" t="n">
        <f aca="false">MAX(0,AD166-H166)</f>
        <v>84</v>
      </c>
      <c r="AT166" s="0" t="n">
        <f aca="false">MIN(Assumptions!$B$29,AS166)</f>
        <v>36</v>
      </c>
      <c r="AU166" s="0" t="n">
        <f aca="false">IF(AS166&gt;=Assumptions!$B$29,0,-PV(Assumptions!$B$5,Assumptions!$B$29-AS166,AR166))</f>
        <v>0</v>
      </c>
      <c r="AV166" s="1" t="n">
        <f aca="false">(-PV(Assumptions!$B$3,AT166,AR166))/POWER(1+Assumptions!$B$2,AH166)</f>
        <v>21661.1471227953</v>
      </c>
      <c r="AW166" s="1" t="n">
        <f aca="false">-PV(Assumptions!$B$2,AH166,T166+AI166)</f>
        <v>5318.41766002654</v>
      </c>
      <c r="AX166" s="1" t="n">
        <f aca="false">(-PV(Assumptions!$B$2,C166,S166))-(-PV(Assumptions!$B$2,AH166,S166))</f>
        <v>8919.48888629116</v>
      </c>
      <c r="AY166" s="1" t="n">
        <f aca="false">AJ166+AW166+AX166+(-PV(Assumptions!$B$2,C166,R166))+X166-(W166/POWER(1+Assumptions!$B$2,C166))</f>
        <v>41385.8145412814</v>
      </c>
      <c r="AZ166" s="1" t="n">
        <f aca="false">AY166+AV166+(AU166/POWER(1+Assumptions!$B$2,C166))</f>
        <v>63046.9616640767</v>
      </c>
      <c r="BA166" s="0" t="n">
        <f aca="false">AQ166/POWER(1+Assumptions!$B$2,AH166)</f>
        <v>20934.1615808466</v>
      </c>
      <c r="BB166" s="1" t="n">
        <f aca="false">AY166+BA166</f>
        <v>62319.976122128</v>
      </c>
      <c r="BC166" s="1" t="n">
        <f aca="false">AJ166+Assumptions!$B$28/POWER(1+Assumptions!$B$2,AH166)+(-PV(Assumptions!$B$2,AH166,R166+T166+AI166))</f>
        <v>28595.0415226211</v>
      </c>
      <c r="BD166" s="1" t="n">
        <f aca="false">MIN(Z166,AG166,AZ166)</f>
        <v>63046.9616640767</v>
      </c>
      <c r="BE166" s="0" t="str">
        <f aca="false">IF(BD166=Z166,"Cash",IF(BD166=AG166,"Loan","Lease then buy out"))</f>
        <v>Lease then buy out</v>
      </c>
    </row>
    <row r="167" customFormat="false" ht="15" hidden="false" customHeight="false" outlineLevel="0" collapsed="false">
      <c r="A167" s="0" t="s">
        <v>67</v>
      </c>
      <c r="B167" s="0" t="s">
        <v>68</v>
      </c>
      <c r="C167" s="0" t="n">
        <v>10</v>
      </c>
      <c r="D167" s="0" t="n">
        <v>0</v>
      </c>
      <c r="E167" s="0" t="n">
        <v>32340</v>
      </c>
      <c r="F167" s="0" t="n">
        <v>3000</v>
      </c>
      <c r="G167" s="0" t="n">
        <v>329</v>
      </c>
      <c r="H167" s="0" t="n">
        <v>36</v>
      </c>
      <c r="I167" s="0" t="n">
        <v>25</v>
      </c>
      <c r="J167" s="0" t="n">
        <v>10543</v>
      </c>
      <c r="K167" s="0" t="s">
        <v>35</v>
      </c>
      <c r="L167" s="0" t="n">
        <v>156.3</v>
      </c>
      <c r="M167" s="0" t="n">
        <f aca="false">MAX(Assumptions!$B$33,Assumptions!$B$30-Assumptions!$B$31*(H167-36)-IF(D167=1,Assumptions!$B$32,0))</f>
        <v>0.57</v>
      </c>
      <c r="N167" s="0" t="n">
        <f aca="false">E167*M167</f>
        <v>18433.8</v>
      </c>
      <c r="O167" s="0" t="n">
        <f aca="false">1-POWER(J167/E167,0.1)</f>
        <v>0.106031082361688</v>
      </c>
      <c r="P167" s="0" t="n">
        <f aca="false">E167*(1+Assumptions!$B$8)+Assumptions!$B$9</f>
        <v>34357</v>
      </c>
      <c r="Q167" s="0" t="n">
        <f aca="false">IF(D167=1,Assumptions!$B$14*33.7,Assumptions!$B$13)</f>
        <v>3.1</v>
      </c>
      <c r="R167" s="0" t="n">
        <f aca="false">(Assumptions!$B$10/I167)*Q167</f>
        <v>1240</v>
      </c>
      <c r="S167" s="0" t="n">
        <f aca="false">Assumptions!$B$15+Assumptions!$B$17</f>
        <v>1750</v>
      </c>
      <c r="T167" s="0" t="n">
        <f aca="false">Assumptions!$B$15*(1+Assumptions!$B$16)+Assumptions!$B$17</f>
        <v>1942</v>
      </c>
      <c r="U167" s="0" t="n">
        <f aca="false">IF(OR(C167&gt;Assumptions!$B$11,Assumptions!$B$10*C167&gt;Assumptions!$B$12),1,0)</f>
        <v>0</v>
      </c>
      <c r="V167" s="0" t="n">
        <f aca="false">MAX(0.6,1-Assumptions!$B$22*MAX(0,(Assumptions!$B$10-10000)*C167)/10000)</f>
        <v>1</v>
      </c>
      <c r="W167" s="0" t="n">
        <f aca="false">IF(U167=1,Assumptions!$B$23,MAX(Assumptions!$B$23,E167*POWER(1-O167,C167)*V167))</f>
        <v>10543</v>
      </c>
      <c r="X167" s="0" t="n">
        <f aca="true">SUMPRODUCT((ROW(INDIRECT("1:"&amp;C167))&gt;Assumptions!$B$20)*Assumptions!$B$18*POWER(Assumptions!$B$19,ROW(INDIRECT("1:"&amp;C167))-Assumptions!$B$20-1)*IF(ROW(INDIRECT("1:"&amp;C167))&gt;Assumptions!$B$11,Assumptions!$B$21,1)/POWER(1+Assumptions!$B$2,ROW(INDIRECT("1:"&amp;C167))))</f>
        <v>7070.12417022456</v>
      </c>
      <c r="Y167" s="1" t="n">
        <f aca="false">-PV(Assumptions!$B$2,C167,R167+S167)+X167</f>
        <v>30498.2089674732</v>
      </c>
      <c r="Z167" s="1" t="n">
        <f aca="false">P167+Y167-(W167/POWER(1+Assumptions!$B$2,C167))</f>
        <v>58194.8537858068</v>
      </c>
      <c r="AA167" s="0" t="n">
        <f aca="false">P167*Assumptions!$B$7</f>
        <v>3435.7</v>
      </c>
      <c r="AB167" s="0" t="n">
        <f aca="false">P167-AA167</f>
        <v>30921.3</v>
      </c>
      <c r="AC167" s="1" t="n">
        <f aca="false">PMT(Assumptions!$B$5,Assumptions!$B$6,-AB167)</f>
        <v>612.132923715575</v>
      </c>
      <c r="AD167" s="0" t="n">
        <f aca="false">C167*12</f>
        <v>120</v>
      </c>
      <c r="AE167" s="0" t="n">
        <f aca="false">MIN(Assumptions!$B$6,AD167)</f>
        <v>60</v>
      </c>
      <c r="AF167" s="0" t="n">
        <f aca="false">IF(AD167&gt;=Assumptions!$B$6,0,-PV(Assumptions!$B$5,Assumptions!$B$6-AD167,AC167))</f>
        <v>0</v>
      </c>
      <c r="AG167" s="1" t="n">
        <f aca="false">AA167+(-PV(Assumptions!$B$3,AE167,AC167))+Y167-((W167-AF167)/POWER(1+Assumptions!$B$2,C167))</f>
        <v>59948.3528398042</v>
      </c>
      <c r="AH167" s="0" t="n">
        <f aca="false">H167/12</f>
        <v>3</v>
      </c>
      <c r="AI167" s="0" t="n">
        <f aca="false">MAX(0,Assumptions!$B$10-Assumptions!$B$24)*Assumptions!$B$25</f>
        <v>0</v>
      </c>
      <c r="AJ167" s="1" t="n">
        <f aca="false">F167+Assumptions!$B$27+(-PV(Assumptions!$B$3,H167-1,G167))</f>
        <v>14440.9916327651</v>
      </c>
      <c r="AK167" s="0" t="n">
        <f aca="false">CEILING(C167/AH167,1)</f>
        <v>4</v>
      </c>
      <c r="AL167" s="0" t="n">
        <f aca="false">(1+Assumptions!$B$26)/POWER(1+Assumptions!$B$2,AH167)</f>
        <v>0.906135810905202</v>
      </c>
      <c r="AM167" s="0" t="n">
        <f aca="false">IF(ABS(1-AL167)&lt;0.000000000001,AK167,(1-POWER(AL167,AK167))/(1-AL167))</f>
        <v>3.47122982028551</v>
      </c>
      <c r="AN167" s="0" t="n">
        <f aca="false">1/POWER(1+Assumptions!$B$2,AH167)</f>
        <v>0.871284433562695</v>
      </c>
      <c r="AO167" s="0" t="n">
        <f aca="false">IF(ABS(1-AN167)&lt;0.000000000001,AK167,AN167*(1-POWER(AN167,AK167))/(1-AN167))</f>
        <v>2.86813319209759</v>
      </c>
      <c r="AP167" s="1" t="n">
        <f aca="false">AJ167*AM167+Assumptions!$B$28*AO167+(-PV(Assumptions!$B$2,C167,R167+T167+AI167))</f>
        <v>76207.7509983731</v>
      </c>
      <c r="AQ167" s="0" t="n">
        <f aca="false">N167*(1+Assumptions!$B$8)</f>
        <v>19355.49</v>
      </c>
      <c r="AR167" s="1" t="n">
        <f aca="false">PMT(Assumptions!$B$5,Assumptions!$B$29,-AQ167)</f>
        <v>597.552847242452</v>
      </c>
      <c r="AS167" s="0" t="n">
        <f aca="false">MAX(0,AD167-H167)</f>
        <v>84</v>
      </c>
      <c r="AT167" s="0" t="n">
        <f aca="false">MIN(Assumptions!$B$29,AS167)</f>
        <v>36</v>
      </c>
      <c r="AU167" s="0" t="n">
        <f aca="false">IF(AS167&gt;=Assumptions!$B$29,0,-PV(Assumptions!$B$5,Assumptions!$B$29-AS167,AR167))</f>
        <v>0</v>
      </c>
      <c r="AV167" s="1" t="n">
        <f aca="false">(-PV(Assumptions!$B$3,AT167,AR167))/POWER(1+Assumptions!$B$2,AH167)</f>
        <v>17449.7819890696</v>
      </c>
      <c r="AW167" s="1" t="n">
        <f aca="false">-PV(Assumptions!$B$2,AH167,T167+AI167)</f>
        <v>5318.41766002654</v>
      </c>
      <c r="AX167" s="1" t="n">
        <f aca="false">(-PV(Assumptions!$B$2,C167,S167))-(-PV(Assumptions!$B$2,AH167,S167))</f>
        <v>8919.48888629116</v>
      </c>
      <c r="AY167" s="1" t="n">
        <f aca="false">AJ167+AW167+AX167+(-PV(Assumptions!$B$2,C167,R167))+X167-(W167/POWER(1+Assumptions!$B$2,C167))</f>
        <v>38804.6622006136</v>
      </c>
      <c r="AZ167" s="1" t="n">
        <f aca="false">AY167+AV167+(AU167/POWER(1+Assumptions!$B$2,C167))</f>
        <v>56254.4441896832</v>
      </c>
      <c r="BA167" s="0" t="n">
        <f aca="false">AQ167/POWER(1+Assumptions!$B$2,AH167)</f>
        <v>16864.1371409784</v>
      </c>
      <c r="BB167" s="1" t="n">
        <f aca="false">AY167+BA167</f>
        <v>55668.799341592</v>
      </c>
      <c r="BC167" s="1" t="n">
        <f aca="false">AJ167+Assumptions!$B$28/POWER(1+Assumptions!$B$2,AH167)+(-PV(Assumptions!$B$2,AH167,R167+T167+AI167))</f>
        <v>23503.8231169031</v>
      </c>
      <c r="BD167" s="1" t="n">
        <f aca="false">MIN(Z167,AG167,AZ167)</f>
        <v>56254.4441896832</v>
      </c>
      <c r="BE167" s="0" t="str">
        <f aca="false">IF(BD167=Z167,"Cash",IF(BD167=AG167,"Loan","Lease then buy out"))</f>
        <v>Lease then buy out</v>
      </c>
    </row>
    <row r="168" customFormat="false" ht="15" hidden="false" customHeight="false" outlineLevel="0" collapsed="false">
      <c r="A168" s="0" t="s">
        <v>31</v>
      </c>
      <c r="B168" s="0" t="s">
        <v>69</v>
      </c>
      <c r="C168" s="0" t="n">
        <v>10</v>
      </c>
      <c r="D168" s="0" t="n">
        <v>0</v>
      </c>
      <c r="E168" s="0" t="n">
        <v>36445</v>
      </c>
      <c r="F168" s="0" t="n">
        <v>4304</v>
      </c>
      <c r="G168" s="0" t="n">
        <v>305</v>
      </c>
      <c r="H168" s="0" t="n">
        <v>36</v>
      </c>
      <c r="I168" s="0" t="n">
        <v>26</v>
      </c>
      <c r="J168" s="0" t="n">
        <v>8790</v>
      </c>
      <c r="K168" s="0" t="s">
        <v>35</v>
      </c>
      <c r="L168" s="0" t="n">
        <v>175.6</v>
      </c>
      <c r="M168" s="0" t="n">
        <f aca="false">MAX(Assumptions!$B$33,Assumptions!$B$30-Assumptions!$B$31*(H168-36)-IF(D168=1,Assumptions!$B$32,0))</f>
        <v>0.57</v>
      </c>
      <c r="N168" s="0" t="n">
        <f aca="false">E168*M168</f>
        <v>20773.65</v>
      </c>
      <c r="O168" s="0" t="n">
        <f aca="false">1-POWER(J168/E168,0.1)</f>
        <v>0.132568693869928</v>
      </c>
      <c r="P168" s="0" t="n">
        <f aca="false">E168*(1+Assumptions!$B$8)+Assumptions!$B$9</f>
        <v>38667.25</v>
      </c>
      <c r="Q168" s="0" t="n">
        <f aca="false">IF(D168=1,Assumptions!$B$14*33.7,Assumptions!$B$13)</f>
        <v>3.1</v>
      </c>
      <c r="R168" s="0" t="n">
        <f aca="false">(Assumptions!$B$10/I168)*Q168</f>
        <v>1192.30769230769</v>
      </c>
      <c r="S168" s="0" t="n">
        <f aca="false">Assumptions!$B$15+Assumptions!$B$17</f>
        <v>1750</v>
      </c>
      <c r="T168" s="0" t="n">
        <f aca="false">Assumptions!$B$15*(1+Assumptions!$B$16)+Assumptions!$B$17</f>
        <v>1942</v>
      </c>
      <c r="U168" s="0" t="n">
        <f aca="false">IF(OR(C168&gt;Assumptions!$B$11,Assumptions!$B$10*C168&gt;Assumptions!$B$12),1,0)</f>
        <v>0</v>
      </c>
      <c r="V168" s="0" t="n">
        <f aca="false">MAX(0.6,1-Assumptions!$B$22*MAX(0,(Assumptions!$B$10-10000)*C168)/10000)</f>
        <v>1</v>
      </c>
      <c r="W168" s="0" t="n">
        <f aca="false">IF(U168=1,Assumptions!$B$23,MAX(Assumptions!$B$23,E168*POWER(1-O168,C168)*V168))</f>
        <v>8790</v>
      </c>
      <c r="X168" s="0" t="n">
        <f aca="true">SUMPRODUCT((ROW(INDIRECT("1:"&amp;C168))&gt;Assumptions!$B$20)*Assumptions!$B$18*POWER(Assumptions!$B$19,ROW(INDIRECT("1:"&amp;C168))-Assumptions!$B$20-1)*IF(ROW(INDIRECT("1:"&amp;C168))&gt;Assumptions!$B$11,Assumptions!$B$21,1)/POWER(1+Assumptions!$B$2,ROW(INDIRECT("1:"&amp;C168))))</f>
        <v>7070.12417022456</v>
      </c>
      <c r="Y168" s="1" t="n">
        <f aca="false">-PV(Assumptions!$B$2,C168,R168+S168)+X168</f>
        <v>30124.5168508204</v>
      </c>
      <c r="Z168" s="1" t="n">
        <f aca="false">P168+Y168-(W168/POWER(1+Assumptions!$B$2,C168))</f>
        <v>63238.838647572</v>
      </c>
      <c r="AA168" s="0" t="n">
        <f aca="false">P168*Assumptions!$B$7</f>
        <v>3866.725</v>
      </c>
      <c r="AB168" s="0" t="n">
        <f aca="false">P168-AA168</f>
        <v>34800.525</v>
      </c>
      <c r="AC168" s="1" t="n">
        <f aca="false">PMT(Assumptions!$B$5,Assumptions!$B$6,-AB168)</f>
        <v>688.927927192161</v>
      </c>
      <c r="AD168" s="0" t="n">
        <f aca="false">C168*12</f>
        <v>120</v>
      </c>
      <c r="AE168" s="0" t="n">
        <f aca="false">MIN(Assumptions!$B$6,AD168)</f>
        <v>60</v>
      </c>
      <c r="AF168" s="0" t="n">
        <f aca="false">IF(AD168&gt;=Assumptions!$B$6,0,-PV(Assumptions!$B$5,Assumptions!$B$6-AD168,AC168))</f>
        <v>0</v>
      </c>
      <c r="AG168" s="1" t="n">
        <f aca="false">AA168+(-PV(Assumptions!$B$3,AE168,AC168))+Y168-((W168-AF168)/POWER(1+Assumptions!$B$2,C168))</f>
        <v>65212.3225459241</v>
      </c>
      <c r="AH168" s="0" t="n">
        <f aca="false">H168/12</f>
        <v>3</v>
      </c>
      <c r="AI168" s="0" t="n">
        <f aca="false">MAX(0,Assumptions!$B$10-Assumptions!$B$24)*Assumptions!$B$25</f>
        <v>0</v>
      </c>
      <c r="AJ168" s="1" t="n">
        <f aca="false">F168+Assumptions!$B$27+(-PV(Assumptions!$B$3,H168-1,G168))</f>
        <v>14961.4542492199</v>
      </c>
      <c r="AK168" s="0" t="n">
        <f aca="false">CEILING(C168/AH168,1)</f>
        <v>4</v>
      </c>
      <c r="AL168" s="0" t="n">
        <f aca="false">(1+Assumptions!$B$26)/POWER(1+Assumptions!$B$2,AH168)</f>
        <v>0.906135810905202</v>
      </c>
      <c r="AM168" s="0" t="n">
        <f aca="false">IF(ABS(1-AL168)&lt;0.000000000001,AK168,(1-POWER(AL168,AK168))/(1-AL168))</f>
        <v>3.47122982028551</v>
      </c>
      <c r="AN168" s="0" t="n">
        <f aca="false">1/POWER(1+Assumptions!$B$2,AH168)</f>
        <v>0.871284433562695</v>
      </c>
      <c r="AO168" s="0" t="n">
        <f aca="false">IF(ABS(1-AN168)&lt;0.000000000001,AK168,AN168*(1-POWER(AN168,AK168))/(1-AN168))</f>
        <v>2.86813319209759</v>
      </c>
      <c r="AP168" s="1" t="n">
        <f aca="false">AJ168*AM168+Assumptions!$B$28*AO168+(-PV(Assumptions!$B$2,C168,R168+T168+AI168))</f>
        <v>77640.7042363021</v>
      </c>
      <c r="AQ168" s="0" t="n">
        <f aca="false">N168*(1+Assumptions!$B$8)</f>
        <v>21812.3325</v>
      </c>
      <c r="AR168" s="1" t="n">
        <f aca="false">PMT(Assumptions!$B$5,Assumptions!$B$29,-AQ168)</f>
        <v>673.401778532813</v>
      </c>
      <c r="AS168" s="0" t="n">
        <f aca="false">MAX(0,AD168-H168)</f>
        <v>84</v>
      </c>
      <c r="AT168" s="0" t="n">
        <f aca="false">MIN(Assumptions!$B$29,AS168)</f>
        <v>36</v>
      </c>
      <c r="AU168" s="0" t="n">
        <f aca="false">IF(AS168&gt;=Assumptions!$B$29,0,-PV(Assumptions!$B$5,Assumptions!$B$29-AS168,AR168))</f>
        <v>0</v>
      </c>
      <c r="AV168" s="1" t="n">
        <f aca="false">(-PV(Assumptions!$B$3,AT168,AR168))/POWER(1+Assumptions!$B$2,AH168)</f>
        <v>19664.7280331367</v>
      </c>
      <c r="AW168" s="1" t="n">
        <f aca="false">-PV(Assumptions!$B$2,AH168,T168+AI168)</f>
        <v>5318.41766002654</v>
      </c>
      <c r="AX168" s="1" t="n">
        <f aca="false">(-PV(Assumptions!$B$2,C168,S168))-(-PV(Assumptions!$B$2,AH168,S168))</f>
        <v>8919.48888629116</v>
      </c>
      <c r="AY168" s="1" t="n">
        <f aca="false">AJ168+AW168+AX168+(-PV(Assumptions!$B$2,C168,R168))+X168-(W168/POWER(1+Assumptions!$B$2,C168))</f>
        <v>40058.8596788337</v>
      </c>
      <c r="AZ168" s="1" t="n">
        <f aca="false">AY168+AV168+(AU168/POWER(1+Assumptions!$B$2,C168))</f>
        <v>59723.5877119704</v>
      </c>
      <c r="BA168" s="0" t="n">
        <f aca="false">AQ168/POWER(1+Assumptions!$B$2,AH168)</f>
        <v>19004.7457669437</v>
      </c>
      <c r="BB168" s="1" t="n">
        <f aca="false">AY168+BA168</f>
        <v>59063.6054457773</v>
      </c>
      <c r="BC168" s="1" t="n">
        <f aca="false">AJ168+Assumptions!$B$28/POWER(1+Assumptions!$B$2,AH168)+(-PV(Assumptions!$B$2,AH168,R168+T168+AI168))</f>
        <v>23893.6741929469</v>
      </c>
      <c r="BD168" s="1" t="n">
        <f aca="false">MIN(Z168,AG168,AZ168)</f>
        <v>59723.5877119704</v>
      </c>
      <c r="BE168" s="0" t="str">
        <f aca="false">IF(BD168=Z168,"Cash",IF(BD168=AG168,"Loan","Lease then buy out"))</f>
        <v>Lease then buy out</v>
      </c>
    </row>
    <row r="169" customFormat="false" ht="15" hidden="false" customHeight="false" outlineLevel="0" collapsed="false">
      <c r="A169" s="0" t="s">
        <v>31</v>
      </c>
      <c r="B169" s="0" t="s">
        <v>70</v>
      </c>
      <c r="C169" s="0" t="n">
        <v>10</v>
      </c>
      <c r="D169" s="0" t="n">
        <v>0</v>
      </c>
      <c r="E169" s="0" t="n">
        <v>37818</v>
      </c>
      <c r="F169" s="0" t="n">
        <v>2905</v>
      </c>
      <c r="G169" s="0" t="n">
        <v>405</v>
      </c>
      <c r="H169" s="0" t="n">
        <v>36</v>
      </c>
      <c r="I169" s="0" t="n">
        <v>26</v>
      </c>
      <c r="J169" s="0" t="n">
        <v>11849</v>
      </c>
      <c r="K169" s="0" t="s">
        <v>35</v>
      </c>
      <c r="L169" s="0" t="n">
        <v>171</v>
      </c>
      <c r="M169" s="0" t="n">
        <f aca="false">MAX(Assumptions!$B$33,Assumptions!$B$30-Assumptions!$B$31*(H169-36)-IF(D169=1,Assumptions!$B$32,0))</f>
        <v>0.57</v>
      </c>
      <c r="N169" s="0" t="n">
        <f aca="false">E169*M169</f>
        <v>21556.26</v>
      </c>
      <c r="O169" s="0" t="n">
        <f aca="false">1-POWER(J169/E169,0.1)</f>
        <v>0.109573012788338</v>
      </c>
      <c r="P169" s="0" t="n">
        <f aca="false">E169*(1+Assumptions!$B$8)+Assumptions!$B$9</f>
        <v>40108.9</v>
      </c>
      <c r="Q169" s="0" t="n">
        <f aca="false">IF(D169=1,Assumptions!$B$14*33.7,Assumptions!$B$13)</f>
        <v>3.1</v>
      </c>
      <c r="R169" s="0" t="n">
        <f aca="false">(Assumptions!$B$10/I169)*Q169</f>
        <v>1192.30769230769</v>
      </c>
      <c r="S169" s="0" t="n">
        <f aca="false">Assumptions!$B$15+Assumptions!$B$17</f>
        <v>1750</v>
      </c>
      <c r="T169" s="0" t="n">
        <f aca="false">Assumptions!$B$15*(1+Assumptions!$B$16)+Assumptions!$B$17</f>
        <v>1942</v>
      </c>
      <c r="U169" s="0" t="n">
        <f aca="false">IF(OR(C169&gt;Assumptions!$B$11,Assumptions!$B$10*C169&gt;Assumptions!$B$12),1,0)</f>
        <v>0</v>
      </c>
      <c r="V169" s="0" t="n">
        <f aca="false">MAX(0.6,1-Assumptions!$B$22*MAX(0,(Assumptions!$B$10-10000)*C169)/10000)</f>
        <v>1</v>
      </c>
      <c r="W169" s="0" t="n">
        <f aca="false">IF(U169=1,Assumptions!$B$23,MAX(Assumptions!$B$23,E169*POWER(1-O169,C169)*V169))</f>
        <v>11849</v>
      </c>
      <c r="X169" s="0" t="n">
        <f aca="true">SUMPRODUCT((ROW(INDIRECT("1:"&amp;C169))&gt;Assumptions!$B$20)*Assumptions!$B$18*POWER(Assumptions!$B$19,ROW(INDIRECT("1:"&amp;C169))-Assumptions!$B$20-1)*IF(ROW(INDIRECT("1:"&amp;C169))&gt;Assumptions!$B$11,Assumptions!$B$21,1)/POWER(1+Assumptions!$B$2,ROW(INDIRECT("1:"&amp;C169))))</f>
        <v>7070.12417022456</v>
      </c>
      <c r="Y169" s="1" t="n">
        <f aca="false">-PV(Assumptions!$B$2,C169,R169+S169)+X169</f>
        <v>30124.5168508204</v>
      </c>
      <c r="Z169" s="1" t="n">
        <f aca="false">P169+Y169-(W169/POWER(1+Assumptions!$B$2,C169))</f>
        <v>62748.0190942459</v>
      </c>
      <c r="AA169" s="0" t="n">
        <f aca="false">P169*Assumptions!$B$7</f>
        <v>4010.89</v>
      </c>
      <c r="AB169" s="0" t="n">
        <f aca="false">P169-AA169</f>
        <v>36098.01</v>
      </c>
      <c r="AC169" s="1" t="n">
        <f aca="false">PMT(Assumptions!$B$5,Assumptions!$B$6,-AB169)</f>
        <v>714.613564164963</v>
      </c>
      <c r="AD169" s="0" t="n">
        <f aca="false">C169*12</f>
        <v>120</v>
      </c>
      <c r="AE169" s="0" t="n">
        <f aca="false">MIN(Assumptions!$B$6,AD169)</f>
        <v>60</v>
      </c>
      <c r="AF169" s="0" t="n">
        <f aca="false">IF(AD169&gt;=Assumptions!$B$6,0,-PV(Assumptions!$B$5,Assumptions!$B$6-AD169,AC169))</f>
        <v>0</v>
      </c>
      <c r="AG169" s="1" t="n">
        <f aca="false">AA169+(-PV(Assumptions!$B$3,AE169,AC169))+Y169-((W169-AF169)/POWER(1+Assumptions!$B$2,C169))</f>
        <v>64795.0813583224</v>
      </c>
      <c r="AH169" s="0" t="n">
        <f aca="false">H169/12</f>
        <v>3</v>
      </c>
      <c r="AI169" s="0" t="n">
        <f aca="false">MAX(0,Assumptions!$B$10-Assumptions!$B$24)*Assumptions!$B$25</f>
        <v>0</v>
      </c>
      <c r="AJ169" s="1" t="n">
        <f aca="false">F169+Assumptions!$B$27+(-PV(Assumptions!$B$3,H169-1,G169))</f>
        <v>16827.1933473248</v>
      </c>
      <c r="AK169" s="0" t="n">
        <f aca="false">CEILING(C169/AH169,1)</f>
        <v>4</v>
      </c>
      <c r="AL169" s="0" t="n">
        <f aca="false">(1+Assumptions!$B$26)/POWER(1+Assumptions!$B$2,AH169)</f>
        <v>0.906135810905202</v>
      </c>
      <c r="AM169" s="0" t="n">
        <f aca="false">IF(ABS(1-AL169)&lt;0.000000000001,AK169,(1-POWER(AL169,AK169))/(1-AL169))</f>
        <v>3.47122982028551</v>
      </c>
      <c r="AN169" s="0" t="n">
        <f aca="false">1/POWER(1+Assumptions!$B$2,AH169)</f>
        <v>0.871284433562695</v>
      </c>
      <c r="AO169" s="0" t="n">
        <f aca="false">IF(ABS(1-AN169)&lt;0.000000000001,AK169,AN169*(1-POWER(AN169,AK169))/(1-AN169))</f>
        <v>2.86813319209759</v>
      </c>
      <c r="AP169" s="1" t="n">
        <f aca="false">AJ169*AM169+Assumptions!$B$28*AO169+(-PV(Assumptions!$B$2,C169,R169+T169+AI169))</f>
        <v>84117.1134305164</v>
      </c>
      <c r="AQ169" s="0" t="n">
        <f aca="false">N169*(1+Assumptions!$B$8)</f>
        <v>22634.073</v>
      </c>
      <c r="AR169" s="1" t="n">
        <f aca="false">PMT(Assumptions!$B$5,Assumptions!$B$29,-AQ169)</f>
        <v>698.770982591684</v>
      </c>
      <c r="AS169" s="0" t="n">
        <f aca="false">MAX(0,AD169-H169)</f>
        <v>84</v>
      </c>
      <c r="AT169" s="0" t="n">
        <f aca="false">MIN(Assumptions!$B$29,AS169)</f>
        <v>36</v>
      </c>
      <c r="AU169" s="0" t="n">
        <f aca="false">IF(AS169&gt;=Assumptions!$B$29,0,-PV(Assumptions!$B$5,Assumptions!$B$29-AS169,AR169))</f>
        <v>0</v>
      </c>
      <c r="AV169" s="1" t="n">
        <f aca="false">(-PV(Assumptions!$B$3,AT169,AR169))/POWER(1+Assumptions!$B$2,AH169)</f>
        <v>20405.5613872181</v>
      </c>
      <c r="AW169" s="1" t="n">
        <f aca="false">-PV(Assumptions!$B$2,AH169,T169+AI169)</f>
        <v>5318.41766002654</v>
      </c>
      <c r="AX169" s="1" t="n">
        <f aca="false">(-PV(Assumptions!$B$2,C169,S169))-(-PV(Assumptions!$B$2,AH169,S169))</f>
        <v>8919.48888629116</v>
      </c>
      <c r="AY169" s="1" t="n">
        <f aca="false">AJ169+AW169+AX169+(-PV(Assumptions!$B$2,C169,R169))+X169-(W169/POWER(1+Assumptions!$B$2,C169))</f>
        <v>39992.1292236124</v>
      </c>
      <c r="AZ169" s="1" t="n">
        <f aca="false">AY169+AV169+(AU169/POWER(1+Assumptions!$B$2,C169))</f>
        <v>60397.6906108305</v>
      </c>
      <c r="BA169" s="0" t="n">
        <f aca="false">AQ169/POWER(1+Assumptions!$B$2,AH169)</f>
        <v>19720.7154730217</v>
      </c>
      <c r="BB169" s="1" t="n">
        <f aca="false">AY169+BA169</f>
        <v>59712.8446966341</v>
      </c>
      <c r="BC169" s="1" t="n">
        <f aca="false">AJ169+Assumptions!$B$28/POWER(1+Assumptions!$B$2,AH169)+(-PV(Assumptions!$B$2,AH169,R169+T169+AI169))</f>
        <v>25759.4132910518</v>
      </c>
      <c r="BD169" s="1" t="n">
        <f aca="false">MIN(Z169,AG169,AZ169)</f>
        <v>60397.6906108305</v>
      </c>
      <c r="BE169" s="0" t="str">
        <f aca="false">IF(BD169=Z169,"Cash",IF(BD169=AG169,"Loan","Lease then buy out"))</f>
        <v>Lease then buy out</v>
      </c>
    </row>
    <row r="170" customFormat="false" ht="15" hidden="false" customHeight="false" outlineLevel="0" collapsed="false">
      <c r="A170" s="0" t="s">
        <v>41</v>
      </c>
      <c r="B170" s="0" t="s">
        <v>71</v>
      </c>
      <c r="C170" s="0" t="n">
        <v>10</v>
      </c>
      <c r="D170" s="0" t="n">
        <v>0</v>
      </c>
      <c r="E170" s="0" t="n">
        <v>40446</v>
      </c>
      <c r="F170" s="0" t="n">
        <v>3089</v>
      </c>
      <c r="G170" s="0" t="n">
        <v>589</v>
      </c>
      <c r="H170" s="0" t="n">
        <v>36</v>
      </c>
      <c r="I170" s="0" t="n">
        <v>25</v>
      </c>
      <c r="J170" s="0" t="n">
        <v>11646</v>
      </c>
      <c r="K170" s="0" t="s">
        <v>35</v>
      </c>
      <c r="L170" s="0" t="n">
        <v>183.8</v>
      </c>
      <c r="M170" s="0" t="n">
        <f aca="false">MAX(Assumptions!$B$33,Assumptions!$B$30-Assumptions!$B$31*(H170-36)-IF(D170=1,Assumptions!$B$32,0))</f>
        <v>0.57</v>
      </c>
      <c r="N170" s="0" t="n">
        <f aca="false">E170*M170</f>
        <v>23054.22</v>
      </c>
      <c r="O170" s="0" t="n">
        <f aca="false">1-POWER(J170/E170,0.1)</f>
        <v>0.117062178132306</v>
      </c>
      <c r="P170" s="0" t="n">
        <f aca="false">E170*(1+Assumptions!$B$8)+Assumptions!$B$9</f>
        <v>42868.3</v>
      </c>
      <c r="Q170" s="0" t="n">
        <f aca="false">IF(D170=1,Assumptions!$B$14*33.7,Assumptions!$B$13)</f>
        <v>3.1</v>
      </c>
      <c r="R170" s="0" t="n">
        <f aca="false">(Assumptions!$B$10/I170)*Q170</f>
        <v>1240</v>
      </c>
      <c r="S170" s="0" t="n">
        <f aca="false">Assumptions!$B$15+Assumptions!$B$17</f>
        <v>1750</v>
      </c>
      <c r="T170" s="0" t="n">
        <f aca="false">Assumptions!$B$15*(1+Assumptions!$B$16)+Assumptions!$B$17</f>
        <v>1942</v>
      </c>
      <c r="U170" s="0" t="n">
        <f aca="false">IF(OR(C170&gt;Assumptions!$B$11,Assumptions!$B$10*C170&gt;Assumptions!$B$12),1,0)</f>
        <v>0</v>
      </c>
      <c r="V170" s="0" t="n">
        <f aca="false">MAX(0.6,1-Assumptions!$B$22*MAX(0,(Assumptions!$B$10-10000)*C170)/10000)</f>
        <v>1</v>
      </c>
      <c r="W170" s="0" t="n">
        <f aca="false">IF(U170=1,Assumptions!$B$23,MAX(Assumptions!$B$23,E170*POWER(1-O170,C170)*V170))</f>
        <v>11646</v>
      </c>
      <c r="X170" s="0" t="n">
        <f aca="true">SUMPRODUCT((ROW(INDIRECT("1:"&amp;C170))&gt;Assumptions!$B$20)*Assumptions!$B$18*POWER(Assumptions!$B$19,ROW(INDIRECT("1:"&amp;C170))-Assumptions!$B$20-1)*IF(ROW(INDIRECT("1:"&amp;C170))&gt;Assumptions!$B$11,Assumptions!$B$21,1)/POWER(1+Assumptions!$B$2,ROW(INDIRECT("1:"&amp;C170))))</f>
        <v>7070.12417022456</v>
      </c>
      <c r="Y170" s="1" t="n">
        <f aca="false">-PV(Assumptions!$B$2,C170,R170+S170)+X170</f>
        <v>30498.2089674732</v>
      </c>
      <c r="Z170" s="1" t="n">
        <f aca="false">P170+Y170-(W170/POWER(1+Assumptions!$B$2,C170))</f>
        <v>66009.3528975038</v>
      </c>
      <c r="AA170" s="0" t="n">
        <f aca="false">P170*Assumptions!$B$7</f>
        <v>4286.83</v>
      </c>
      <c r="AB170" s="0" t="n">
        <f aca="false">P170-AA170</f>
        <v>38581.47</v>
      </c>
      <c r="AC170" s="1" t="n">
        <f aca="false">PMT(Assumptions!$B$5,Assumptions!$B$6,-AB170)</f>
        <v>763.777332529511</v>
      </c>
      <c r="AD170" s="0" t="n">
        <f aca="false">C170*12</f>
        <v>120</v>
      </c>
      <c r="AE170" s="0" t="n">
        <f aca="false">MIN(Assumptions!$B$6,AD170)</f>
        <v>60</v>
      </c>
      <c r="AF170" s="0" t="n">
        <f aca="false">IF(AD170&gt;=Assumptions!$B$6,0,-PV(Assumptions!$B$5,Assumptions!$B$6-AD170,AC170))</f>
        <v>0</v>
      </c>
      <c r="AG170" s="1" t="n">
        <f aca="false">AA170+(-PV(Assumptions!$B$3,AE170,AC170))+Y170-((W170-AF170)/POWER(1+Assumptions!$B$2,C170))</f>
        <v>68197.248333557</v>
      </c>
      <c r="AH170" s="0" t="n">
        <f aca="false">H170/12</f>
        <v>3</v>
      </c>
      <c r="AI170" s="0" t="n">
        <f aca="false">MAX(0,Assumptions!$B$10-Assumptions!$B$24)*Assumptions!$B$25</f>
        <v>0</v>
      </c>
      <c r="AJ170" s="1" t="n">
        <f aca="false">F170+Assumptions!$B$27+(-PV(Assumptions!$B$3,H170-1,G170))</f>
        <v>23018.3132878378</v>
      </c>
      <c r="AK170" s="0" t="n">
        <f aca="false">CEILING(C170/AH170,1)</f>
        <v>4</v>
      </c>
      <c r="AL170" s="0" t="n">
        <f aca="false">(1+Assumptions!$B$26)/POWER(1+Assumptions!$B$2,AH170)</f>
        <v>0.906135810905202</v>
      </c>
      <c r="AM170" s="0" t="n">
        <f aca="false">IF(ABS(1-AL170)&lt;0.000000000001,AK170,(1-POWER(AL170,AK170))/(1-AL170))</f>
        <v>3.47122982028551</v>
      </c>
      <c r="AN170" s="0" t="n">
        <f aca="false">1/POWER(1+Assumptions!$B$2,AH170)</f>
        <v>0.871284433562695</v>
      </c>
      <c r="AO170" s="0" t="n">
        <f aca="false">IF(ABS(1-AN170)&lt;0.000000000001,AK170,AN170*(1-POWER(AN170,AK170))/(1-AN170))</f>
        <v>2.86813319209759</v>
      </c>
      <c r="AP170" s="1" t="n">
        <f aca="false">AJ170*AM170+Assumptions!$B$28*AO170+(-PV(Assumptions!$B$2,C170,R170+T170+AI170))</f>
        <v>105981.605705642</v>
      </c>
      <c r="AQ170" s="0" t="n">
        <f aca="false">N170*(1+Assumptions!$B$8)</f>
        <v>24206.931</v>
      </c>
      <c r="AR170" s="1" t="n">
        <f aca="false">PMT(Assumptions!$B$5,Assumptions!$B$29,-AQ170)</f>
        <v>747.329080382443</v>
      </c>
      <c r="AS170" s="0" t="n">
        <f aca="false">MAX(0,AD170-H170)</f>
        <v>84</v>
      </c>
      <c r="AT170" s="0" t="n">
        <f aca="false">MIN(Assumptions!$B$29,AS170)</f>
        <v>36</v>
      </c>
      <c r="AU170" s="0" t="n">
        <f aca="false">IF(AS170&gt;=Assumptions!$B$29,0,-PV(Assumptions!$B$5,Assumptions!$B$29-AS170,AR170))</f>
        <v>0</v>
      </c>
      <c r="AV170" s="1" t="n">
        <f aca="false">(-PV(Assumptions!$B$3,AT170,AR170))/POWER(1+Assumptions!$B$2,AH170)</f>
        <v>21823.5585136026</v>
      </c>
      <c r="AW170" s="1" t="n">
        <f aca="false">-PV(Assumptions!$B$2,AH170,T170+AI170)</f>
        <v>5318.41766002654</v>
      </c>
      <c r="AX170" s="1" t="n">
        <f aca="false">(-PV(Assumptions!$B$2,C170,S170))-(-PV(Assumptions!$B$2,AH170,S170))</f>
        <v>8919.48888629116</v>
      </c>
      <c r="AY170" s="1" t="n">
        <f aca="false">AJ170+AW170+AX170+(-PV(Assumptions!$B$2,C170,R170))+X170-(W170/POWER(1+Assumptions!$B$2,C170))</f>
        <v>46685.1829673834</v>
      </c>
      <c r="AZ170" s="1" t="n">
        <f aca="false">AY170+AV170+(AU170/POWER(1+Assumptions!$B$2,C170))</f>
        <v>68508.741480986</v>
      </c>
      <c r="BA170" s="0" t="n">
        <f aca="false">AQ170/POWER(1+Assumptions!$B$2,AH170)</f>
        <v>21091.1221646262</v>
      </c>
      <c r="BB170" s="1" t="n">
        <f aca="false">AY170+BA170</f>
        <v>67776.3051320096</v>
      </c>
      <c r="BC170" s="1" t="n">
        <f aca="false">AJ170+Assumptions!$B$28/POWER(1+Assumptions!$B$2,AH170)+(-PV(Assumptions!$B$2,AH170,R170+T170+AI170))</f>
        <v>32081.1447719758</v>
      </c>
      <c r="BD170" s="1" t="n">
        <f aca="false">MIN(Z170,AG170,AZ170)</f>
        <v>66009.3528975038</v>
      </c>
      <c r="BE170" s="0" t="str">
        <f aca="false">IF(BD170=Z170,"Cash",IF(BD170=AG170,"Loan","Lease then buy out"))</f>
        <v>Cash</v>
      </c>
    </row>
    <row r="171" customFormat="false" ht="15" hidden="false" customHeight="false" outlineLevel="0" collapsed="false">
      <c r="A171" s="0" t="s">
        <v>63</v>
      </c>
      <c r="B171" s="0" t="s">
        <v>72</v>
      </c>
      <c r="C171" s="0" t="n">
        <v>10</v>
      </c>
      <c r="D171" s="0" t="n">
        <v>0</v>
      </c>
      <c r="E171" s="0" t="n">
        <v>40457</v>
      </c>
      <c r="F171" s="0" t="n">
        <v>3047</v>
      </c>
      <c r="G171" s="0" t="n">
        <v>547</v>
      </c>
      <c r="H171" s="0" t="n">
        <v>36</v>
      </c>
      <c r="I171" s="0" t="n">
        <v>23</v>
      </c>
      <c r="J171" s="0" t="n">
        <v>12781</v>
      </c>
      <c r="K171" s="0" t="s">
        <v>35</v>
      </c>
      <c r="L171" s="0" t="n">
        <v>184.8</v>
      </c>
      <c r="M171" s="0" t="n">
        <f aca="false">MAX(Assumptions!$B$33,Assumptions!$B$30-Assumptions!$B$31*(H171-36)-IF(D171=1,Assumptions!$B$32,0))</f>
        <v>0.57</v>
      </c>
      <c r="N171" s="0" t="n">
        <f aca="false">E171*M171</f>
        <v>23060.49</v>
      </c>
      <c r="O171" s="0" t="n">
        <f aca="false">1-POWER(J171/E171,0.1)</f>
        <v>0.108837063385632</v>
      </c>
      <c r="P171" s="0" t="n">
        <f aca="false">E171*(1+Assumptions!$B$8)+Assumptions!$B$9</f>
        <v>42879.85</v>
      </c>
      <c r="Q171" s="0" t="n">
        <f aca="false">IF(D171=1,Assumptions!$B$14*33.7,Assumptions!$B$13)</f>
        <v>3.1</v>
      </c>
      <c r="R171" s="0" t="n">
        <f aca="false">(Assumptions!$B$10/I171)*Q171</f>
        <v>1347.82608695652</v>
      </c>
      <c r="S171" s="0" t="n">
        <f aca="false">Assumptions!$B$15+Assumptions!$B$17</f>
        <v>1750</v>
      </c>
      <c r="T171" s="0" t="n">
        <f aca="false">Assumptions!$B$15*(1+Assumptions!$B$16)+Assumptions!$B$17</f>
        <v>1942</v>
      </c>
      <c r="U171" s="0" t="n">
        <f aca="false">IF(OR(C171&gt;Assumptions!$B$11,Assumptions!$B$10*C171&gt;Assumptions!$B$12),1,0)</f>
        <v>0</v>
      </c>
      <c r="V171" s="0" t="n">
        <f aca="false">MAX(0.6,1-Assumptions!$B$22*MAX(0,(Assumptions!$B$10-10000)*C171)/10000)</f>
        <v>1</v>
      </c>
      <c r="W171" s="0" t="n">
        <f aca="false">IF(U171=1,Assumptions!$B$23,MAX(Assumptions!$B$23,E171*POWER(1-O171,C171)*V171))</f>
        <v>12781</v>
      </c>
      <c r="X171" s="0" t="n">
        <f aca="true">SUMPRODUCT((ROW(INDIRECT("1:"&amp;C171))&gt;Assumptions!$B$20)*Assumptions!$B$18*POWER(Assumptions!$B$19,ROW(INDIRECT("1:"&amp;C171))-Assumptions!$B$20-1)*IF(ROW(INDIRECT("1:"&amp;C171))&gt;Assumptions!$B$11,Assumptions!$B$21,1)/POWER(1+Assumptions!$B$2,ROW(INDIRECT("1:"&amp;C171))))</f>
        <v>7070.12417022456</v>
      </c>
      <c r="Y171" s="1" t="n">
        <f aca="false">-PV(Assumptions!$B$2,C171,R171+S171)+X171</f>
        <v>31343.0781007752</v>
      </c>
      <c r="Z171" s="1" t="n">
        <f aca="false">P171+Y171-(W171/POWER(1+Assumptions!$B$2,C171))</f>
        <v>66148.7557042202</v>
      </c>
      <c r="AA171" s="0" t="n">
        <f aca="false">P171*Assumptions!$B$7</f>
        <v>4287.985</v>
      </c>
      <c r="AB171" s="0" t="n">
        <f aca="false">P171-AA171</f>
        <v>38591.865</v>
      </c>
      <c r="AC171" s="1" t="n">
        <f aca="false">PMT(Assumptions!$B$5,Assumptions!$B$6,-AB171)</f>
        <v>763.983116948084</v>
      </c>
      <c r="AD171" s="0" t="n">
        <f aca="false">C171*12</f>
        <v>120</v>
      </c>
      <c r="AE171" s="0" t="n">
        <f aca="false">MIN(Assumptions!$B$6,AD171)</f>
        <v>60</v>
      </c>
      <c r="AF171" s="0" t="n">
        <f aca="false">IF(AD171&gt;=Assumptions!$B$6,0,-PV(Assumptions!$B$5,Assumptions!$B$6-AD171,AC171))</f>
        <v>0</v>
      </c>
      <c r="AG171" s="1" t="n">
        <f aca="false">AA171+(-PV(Assumptions!$B$3,AE171,AC171))+Y171-((W171-AF171)/POWER(1+Assumptions!$B$2,C171))</f>
        <v>68337.240624631</v>
      </c>
      <c r="AH171" s="0" t="n">
        <f aca="false">H171/12</f>
        <v>3</v>
      </c>
      <c r="AI171" s="0" t="n">
        <f aca="false">MAX(0,Assumptions!$B$10-Assumptions!$B$24)*Assumptions!$B$25</f>
        <v>0</v>
      </c>
      <c r="AJ171" s="1" t="n">
        <f aca="false">F171+Assumptions!$B$27+(-PV(Assumptions!$B$3,H171-1,G171))</f>
        <v>21605.1228666337</v>
      </c>
      <c r="AK171" s="0" t="n">
        <f aca="false">CEILING(C171/AH171,1)</f>
        <v>4</v>
      </c>
      <c r="AL171" s="0" t="n">
        <f aca="false">(1+Assumptions!$B$26)/POWER(1+Assumptions!$B$2,AH171)</f>
        <v>0.906135810905202</v>
      </c>
      <c r="AM171" s="0" t="n">
        <f aca="false">IF(ABS(1-AL171)&lt;0.000000000001,AK171,(1-POWER(AL171,AK171))/(1-AL171))</f>
        <v>3.47122982028551</v>
      </c>
      <c r="AN171" s="0" t="n">
        <f aca="false">1/POWER(1+Assumptions!$B$2,AH171)</f>
        <v>0.871284433562695</v>
      </c>
      <c r="AO171" s="0" t="n">
        <f aca="false">IF(ABS(1-AN171)&lt;0.000000000001,AK171,AN171*(1-POWER(AN171,AK171))/(1-AN171))</f>
        <v>2.86813319209759</v>
      </c>
      <c r="AP171" s="1" t="n">
        <f aca="false">AJ171*AM171+Assumptions!$B$28*AO171+(-PV(Assumptions!$B$2,C171,R171+T171+AI171))</f>
        <v>101920.966107119</v>
      </c>
      <c r="AQ171" s="0" t="n">
        <f aca="false">N171*(1+Assumptions!$B$8)</f>
        <v>24213.5145</v>
      </c>
      <c r="AR171" s="1" t="n">
        <f aca="false">PMT(Assumptions!$B$5,Assumptions!$B$29,-AQ171)</f>
        <v>747.532329650213</v>
      </c>
      <c r="AS171" s="0" t="n">
        <f aca="false">MAX(0,AD171-H171)</f>
        <v>84</v>
      </c>
      <c r="AT171" s="0" t="n">
        <f aca="false">MIN(Assumptions!$B$29,AS171)</f>
        <v>36</v>
      </c>
      <c r="AU171" s="0" t="n">
        <f aca="false">IF(AS171&gt;=Assumptions!$B$29,0,-PV(Assumptions!$B$5,Assumptions!$B$29-AS171,AR171))</f>
        <v>0</v>
      </c>
      <c r="AV171" s="1" t="n">
        <f aca="false">(-PV(Assumptions!$B$3,AT171,AR171))/POWER(1+Assumptions!$B$2,AH171)</f>
        <v>21829.4938135989</v>
      </c>
      <c r="AW171" s="1" t="n">
        <f aca="false">-PV(Assumptions!$B$2,AH171,T171+AI171)</f>
        <v>5318.41766002654</v>
      </c>
      <c r="AX171" s="1" t="n">
        <f aca="false">(-PV(Assumptions!$B$2,C171,S171))-(-PV(Assumptions!$B$2,AH171,S171))</f>
        <v>8919.48888629116</v>
      </c>
      <c r="AY171" s="1" t="n">
        <f aca="false">AJ171+AW171+AX171+(-PV(Assumptions!$B$2,C171,R171))+X171-(W171/POWER(1+Assumptions!$B$2,C171))</f>
        <v>45399.8453528957</v>
      </c>
      <c r="AZ171" s="1" t="n">
        <f aca="false">AY171+AV171+(AU171/POWER(1+Assumptions!$B$2,C171))</f>
        <v>67229.3391664946</v>
      </c>
      <c r="BA171" s="0" t="n">
        <f aca="false">AQ171/POWER(1+Assumptions!$B$2,AH171)</f>
        <v>21096.8582656946</v>
      </c>
      <c r="BB171" s="1" t="n">
        <f aca="false">AY171+BA171</f>
        <v>66496.7036185903</v>
      </c>
      <c r="BC171" s="1" t="n">
        <f aca="false">AJ171+Assumptions!$B$28/POWER(1+Assumptions!$B$2,AH171)+(-PV(Assumptions!$B$2,AH171,R171+T171+AI171))</f>
        <v>30963.2500073531</v>
      </c>
      <c r="BD171" s="1" t="n">
        <f aca="false">MIN(Z171,AG171,AZ171)</f>
        <v>66148.7557042202</v>
      </c>
      <c r="BE171" s="0" t="str">
        <f aca="false">IF(BD171=Z171,"Cash",IF(BD171=AG171,"Loan","Lease then buy out"))</f>
        <v>Cash</v>
      </c>
    </row>
    <row r="172" customFormat="false" ht="15" hidden="false" customHeight="false" outlineLevel="0" collapsed="false">
      <c r="A172" s="0" t="s">
        <v>58</v>
      </c>
      <c r="B172" s="0" t="s">
        <v>73</v>
      </c>
      <c r="C172" s="0" t="n">
        <v>10</v>
      </c>
      <c r="D172" s="0" t="n">
        <v>0</v>
      </c>
      <c r="E172" s="0" t="n">
        <v>49575</v>
      </c>
      <c r="F172" s="0" t="n">
        <v>1304</v>
      </c>
      <c r="G172" s="0" t="n">
        <v>554</v>
      </c>
      <c r="H172" s="0" t="n">
        <v>36</v>
      </c>
      <c r="I172" s="0" t="n">
        <v>35</v>
      </c>
      <c r="J172" s="0" t="n">
        <v>20339</v>
      </c>
      <c r="K172" s="0" t="s">
        <v>35</v>
      </c>
      <c r="L172" s="0" t="n">
        <v>182.3</v>
      </c>
      <c r="M172" s="0" t="n">
        <f aca="false">MAX(Assumptions!$B$33,Assumptions!$B$30-Assumptions!$B$31*(H172-36)-IF(D172=1,Assumptions!$B$32,0))</f>
        <v>0.57</v>
      </c>
      <c r="N172" s="0" t="n">
        <f aca="false">E172*M172</f>
        <v>28257.75</v>
      </c>
      <c r="O172" s="0" t="n">
        <f aca="false">1-POWER(J172/E172,0.1)</f>
        <v>0.0852410078145912</v>
      </c>
      <c r="P172" s="0" t="n">
        <f aca="false">E172*(1+Assumptions!$B$8)+Assumptions!$B$9</f>
        <v>52453.75</v>
      </c>
      <c r="Q172" s="0" t="n">
        <f aca="false">IF(D172=1,Assumptions!$B$14*33.7,Assumptions!$B$13)</f>
        <v>3.1</v>
      </c>
      <c r="R172" s="0" t="n">
        <f aca="false">(Assumptions!$B$10/I172)*Q172</f>
        <v>885.714285714286</v>
      </c>
      <c r="S172" s="0" t="n">
        <f aca="false">Assumptions!$B$15+Assumptions!$B$17</f>
        <v>1750</v>
      </c>
      <c r="T172" s="0" t="n">
        <f aca="false">Assumptions!$B$15*(1+Assumptions!$B$16)+Assumptions!$B$17</f>
        <v>1942</v>
      </c>
      <c r="U172" s="0" t="n">
        <f aca="false">IF(OR(C172&gt;Assumptions!$B$11,Assumptions!$B$10*C172&gt;Assumptions!$B$12),1,0)</f>
        <v>0</v>
      </c>
      <c r="V172" s="0" t="n">
        <f aca="false">MAX(0.6,1-Assumptions!$B$22*MAX(0,(Assumptions!$B$10-10000)*C172)/10000)</f>
        <v>1</v>
      </c>
      <c r="W172" s="0" t="n">
        <f aca="false">IF(U172=1,Assumptions!$B$23,MAX(Assumptions!$B$23,E172*POWER(1-O172,C172)*V172))</f>
        <v>20339</v>
      </c>
      <c r="X172" s="0" t="n">
        <f aca="true">SUMPRODUCT((ROW(INDIRECT("1:"&amp;C172))&gt;Assumptions!$B$20)*Assumptions!$B$18*POWER(Assumptions!$B$19,ROW(INDIRECT("1:"&amp;C172))-Assumptions!$B$20-1)*IF(ROW(INDIRECT("1:"&amp;C172))&gt;Assumptions!$B$11,Assumptions!$B$21,1)/POWER(1+Assumptions!$B$2,ROW(INDIRECT("1:"&amp;C172))))</f>
        <v>7070.12417022456</v>
      </c>
      <c r="Y172" s="1" t="n">
        <f aca="false">-PV(Assumptions!$B$2,C172,R172+S172)+X172</f>
        <v>27722.2103866238</v>
      </c>
      <c r="Z172" s="1" t="n">
        <f aca="false">P172+Y172-(W172/POWER(1+Assumptions!$B$2,C172))</f>
        <v>67327.1541607002</v>
      </c>
      <c r="AA172" s="0" t="n">
        <f aca="false">P172*Assumptions!$B$7</f>
        <v>5245.375</v>
      </c>
      <c r="AB172" s="0" t="n">
        <f aca="false">P172-AA172</f>
        <v>47208.375</v>
      </c>
      <c r="AC172" s="1" t="n">
        <f aca="false">PMT(Assumptions!$B$5,Assumptions!$B$6,-AB172)</f>
        <v>934.559692270741</v>
      </c>
      <c r="AD172" s="0" t="n">
        <f aca="false">C172*12</f>
        <v>120</v>
      </c>
      <c r="AE172" s="0" t="n">
        <f aca="false">MIN(Assumptions!$B$6,AD172)</f>
        <v>60</v>
      </c>
      <c r="AF172" s="0" t="n">
        <f aca="false">IF(AD172&gt;=Assumptions!$B$6,0,-PV(Assumptions!$B$5,Assumptions!$B$6-AD172,AC172))</f>
        <v>0</v>
      </c>
      <c r="AG172" s="1" t="n">
        <f aca="false">AA172+(-PV(Assumptions!$B$3,AE172,AC172))+Y172-((W172-AF172)/POWER(1+Assumptions!$B$2,C172))</f>
        <v>70004.2680240649</v>
      </c>
      <c r="AH172" s="0" t="n">
        <f aca="false">H172/12</f>
        <v>3</v>
      </c>
      <c r="AI172" s="0" t="n">
        <f aca="false">MAX(0,Assumptions!$B$10-Assumptions!$B$24)*Assumptions!$B$25</f>
        <v>0</v>
      </c>
      <c r="AJ172" s="1" t="n">
        <f aca="false">F172+Assumptions!$B$27+(-PV(Assumptions!$B$3,H172-1,G172))</f>
        <v>20090.6546035011</v>
      </c>
      <c r="AK172" s="0" t="n">
        <f aca="false">CEILING(C172/AH172,1)</f>
        <v>4</v>
      </c>
      <c r="AL172" s="0" t="n">
        <f aca="false">(1+Assumptions!$B$26)/POWER(1+Assumptions!$B$2,AH172)</f>
        <v>0.906135810905202</v>
      </c>
      <c r="AM172" s="0" t="n">
        <f aca="false">IF(ABS(1-AL172)&lt;0.000000000001,AK172,(1-POWER(AL172,AK172))/(1-AL172))</f>
        <v>3.47122982028551</v>
      </c>
      <c r="AN172" s="0" t="n">
        <f aca="false">1/POWER(1+Assumptions!$B$2,AH172)</f>
        <v>0.871284433562695</v>
      </c>
      <c r="AO172" s="0" t="n">
        <f aca="false">IF(ABS(1-AN172)&lt;0.000000000001,AK172,AN172*(1-POWER(AN172,AK172))/(1-AN172))</f>
        <v>2.86813319209759</v>
      </c>
      <c r="AP172" s="1" t="n">
        <f aca="false">AJ172*AM172+Assumptions!$B$28*AO172+(-PV(Assumptions!$B$2,C172,R172+T172+AI172))</f>
        <v>93043.0309961054</v>
      </c>
      <c r="AQ172" s="0" t="n">
        <f aca="false">N172*(1+Assumptions!$B$8)</f>
        <v>29670.6375</v>
      </c>
      <c r="AR172" s="1" t="n">
        <f aca="false">PMT(Assumptions!$B$5,Assumptions!$B$29,-AQ172)</f>
        <v>916.007495425002</v>
      </c>
      <c r="AS172" s="0" t="n">
        <f aca="false">MAX(0,AD172-H172)</f>
        <v>84</v>
      </c>
      <c r="AT172" s="0" t="n">
        <f aca="false">MIN(Assumptions!$B$29,AS172)</f>
        <v>36</v>
      </c>
      <c r="AU172" s="0" t="n">
        <f aca="false">IF(AS172&gt;=Assumptions!$B$29,0,-PV(Assumptions!$B$5,Assumptions!$B$29-AS172,AR172))</f>
        <v>0</v>
      </c>
      <c r="AV172" s="1" t="n">
        <f aca="false">(-PV(Assumptions!$B$3,AT172,AR172))/POWER(1+Assumptions!$B$2,AH172)</f>
        <v>26749.3179377899</v>
      </c>
      <c r="AW172" s="1" t="n">
        <f aca="false">-PV(Assumptions!$B$2,AH172,T172+AI172)</f>
        <v>5318.41766002654</v>
      </c>
      <c r="AX172" s="1" t="n">
        <f aca="false">(-PV(Assumptions!$B$2,C172,S172))-(-PV(Assumptions!$B$2,AH172,S172))</f>
        <v>8919.48888629116</v>
      </c>
      <c r="AY172" s="1" t="n">
        <f aca="false">AJ172+AW172+AX172+(-PV(Assumptions!$B$2,C172,R172))+X172-(W172/POWER(1+Assumptions!$B$2,C172))</f>
        <v>35489.875546243</v>
      </c>
      <c r="AZ172" s="1" t="n">
        <f aca="false">AY172+AV172+(AU172/POWER(1+Assumptions!$B$2,C172))</f>
        <v>62239.1934840329</v>
      </c>
      <c r="BA172" s="0" t="n">
        <f aca="false">AQ172/POWER(1+Assumptions!$B$2,AH172)</f>
        <v>25851.5645876315</v>
      </c>
      <c r="BB172" s="1" t="n">
        <f aca="false">AY172+BA172</f>
        <v>61341.4401338746</v>
      </c>
      <c r="BC172" s="1" t="n">
        <f aca="false">AJ172+Assumptions!$B$28/POWER(1+Assumptions!$B$2,AH172)+(-PV(Assumptions!$B$2,AH172,R172+T172+AI172))</f>
        <v>28183.2289303001</v>
      </c>
      <c r="BD172" s="1" t="n">
        <f aca="false">MIN(Z172,AG172,AZ172)</f>
        <v>62239.1934840329</v>
      </c>
      <c r="BE172" s="0" t="str">
        <f aca="false">IF(BD172=Z172,"Cash",IF(BD172=AG172,"Loan","Lease then buy out"))</f>
        <v>Lease then buy out</v>
      </c>
    </row>
    <row r="173" customFormat="false" ht="15" hidden="false" customHeight="false" outlineLevel="0" collapsed="false">
      <c r="A173" s="0" t="s">
        <v>63</v>
      </c>
      <c r="B173" s="0" t="s">
        <v>74</v>
      </c>
      <c r="C173" s="0" t="n">
        <v>10</v>
      </c>
      <c r="D173" s="0" t="n">
        <v>0</v>
      </c>
      <c r="E173" s="0" t="n">
        <v>32598</v>
      </c>
      <c r="F173" s="0" t="n">
        <v>3000</v>
      </c>
      <c r="G173" s="0" t="n">
        <v>506</v>
      </c>
      <c r="H173" s="0" t="n">
        <v>36</v>
      </c>
      <c r="I173" s="0" t="n">
        <v>37</v>
      </c>
      <c r="J173" s="0" t="n">
        <v>9648</v>
      </c>
      <c r="K173" s="0" t="s">
        <v>35</v>
      </c>
      <c r="L173" s="0" t="n">
        <v>87.3</v>
      </c>
      <c r="M173" s="0" t="n">
        <f aca="false">MAX(Assumptions!$B$33,Assumptions!$B$30-Assumptions!$B$31*(H173-36)-IF(D173=1,Assumptions!$B$32,0))</f>
        <v>0.57</v>
      </c>
      <c r="N173" s="0" t="n">
        <f aca="false">E173*M173</f>
        <v>18580.86</v>
      </c>
      <c r="O173" s="0" t="n">
        <f aca="false">1-POWER(J173/E173,0.1)</f>
        <v>0.114630343020944</v>
      </c>
      <c r="P173" s="0" t="n">
        <f aca="false">E173*(1+Assumptions!$B$8)+Assumptions!$B$9</f>
        <v>34627.9</v>
      </c>
      <c r="Q173" s="0" t="n">
        <f aca="false">IF(D173=1,Assumptions!$B$14*33.7,Assumptions!$B$13)</f>
        <v>3.1</v>
      </c>
      <c r="R173" s="0" t="n">
        <f aca="false">(Assumptions!$B$10/I173)*Q173</f>
        <v>837.837837837838</v>
      </c>
      <c r="S173" s="0" t="n">
        <f aca="false">Assumptions!$B$15+Assumptions!$B$17</f>
        <v>1750</v>
      </c>
      <c r="T173" s="0" t="n">
        <f aca="false">Assumptions!$B$15*(1+Assumptions!$B$16)+Assumptions!$B$17</f>
        <v>1942</v>
      </c>
      <c r="U173" s="0" t="n">
        <f aca="false">IF(OR(C173&gt;Assumptions!$B$11,Assumptions!$B$10*C173&gt;Assumptions!$B$12),1,0)</f>
        <v>0</v>
      </c>
      <c r="V173" s="0" t="n">
        <f aca="false">MAX(0.6,1-Assumptions!$B$22*MAX(0,(Assumptions!$B$10-10000)*C173)/10000)</f>
        <v>1</v>
      </c>
      <c r="W173" s="0" t="n">
        <f aca="false">IF(U173=1,Assumptions!$B$23,MAX(Assumptions!$B$23,E173*POWER(1-O173,C173)*V173))</f>
        <v>9648</v>
      </c>
      <c r="X173" s="0" t="n">
        <f aca="true">SUMPRODUCT((ROW(INDIRECT("1:"&amp;C173))&gt;Assumptions!$B$20)*Assumptions!$B$18*POWER(Assumptions!$B$19,ROW(INDIRECT("1:"&amp;C173))-Assumptions!$B$20-1)*IF(ROW(INDIRECT("1:"&amp;C173))&gt;Assumptions!$B$11,Assumptions!$B$21,1)/POWER(1+Assumptions!$B$2,ROW(INDIRECT("1:"&amp;C173))))</f>
        <v>7070.12417022456</v>
      </c>
      <c r="Y173" s="1" t="n">
        <f aca="false">-PV(Assumptions!$B$2,C173,R173+S173)+X173</f>
        <v>27347.0754432658</v>
      </c>
      <c r="Z173" s="1" t="n">
        <f aca="false">P173+Y173-(W173/POWER(1+Assumptions!$B$2,C173))</f>
        <v>55880.0208010655</v>
      </c>
      <c r="AA173" s="0" t="n">
        <f aca="false">P173*Assumptions!$B$7</f>
        <v>3462.79</v>
      </c>
      <c r="AB173" s="0" t="n">
        <f aca="false">P173-AA173</f>
        <v>31165.11</v>
      </c>
      <c r="AC173" s="1" t="n">
        <f aca="false">PMT(Assumptions!$B$5,Assumptions!$B$6,-AB173)</f>
        <v>616.959503714835</v>
      </c>
      <c r="AD173" s="0" t="n">
        <f aca="false">C173*12</f>
        <v>120</v>
      </c>
      <c r="AE173" s="0" t="n">
        <f aca="false">MIN(Assumptions!$B$6,AD173)</f>
        <v>60</v>
      </c>
      <c r="AF173" s="0" t="n">
        <f aca="false">IF(AD173&gt;=Assumptions!$B$6,0,-PV(Assumptions!$B$5,Assumptions!$B$6-AD173,AC173))</f>
        <v>0</v>
      </c>
      <c r="AG173" s="1" t="n">
        <f aca="false">AA173+(-PV(Assumptions!$B$3,AE173,AC173))+Y173-((W173-AF173)/POWER(1+Assumptions!$B$2,C173))</f>
        <v>57647.3459427228</v>
      </c>
      <c r="AH173" s="0" t="n">
        <f aca="false">H173/12</f>
        <v>3</v>
      </c>
      <c r="AI173" s="0" t="n">
        <f aca="false">MAX(0,Assumptions!$B$10-Assumptions!$B$24)*Assumptions!$B$25</f>
        <v>0</v>
      </c>
      <c r="AJ173" s="1" t="n">
        <f aca="false">F173+Assumptions!$B$27+(-PV(Assumptions!$B$3,H173-1,G173))</f>
        <v>20219.5798364107</v>
      </c>
      <c r="AK173" s="0" t="n">
        <f aca="false">CEILING(C173/AH173,1)</f>
        <v>4</v>
      </c>
      <c r="AL173" s="0" t="n">
        <f aca="false">(1+Assumptions!$B$26)/POWER(1+Assumptions!$B$2,AH173)</f>
        <v>0.906135810905202</v>
      </c>
      <c r="AM173" s="0" t="n">
        <f aca="false">IF(ABS(1-AL173)&lt;0.000000000001,AK173,(1-POWER(AL173,AK173))/(1-AL173))</f>
        <v>3.47122982028551</v>
      </c>
      <c r="AN173" s="0" t="n">
        <f aca="false">1/POWER(1+Assumptions!$B$2,AH173)</f>
        <v>0.871284433562695</v>
      </c>
      <c r="AO173" s="0" t="n">
        <f aca="false">IF(ABS(1-AN173)&lt;0.000000000001,AK173,AN173*(1-POWER(AN173,AK173))/(1-AN173))</f>
        <v>2.86813319209759</v>
      </c>
      <c r="AP173" s="1" t="n">
        <f aca="false">AJ173*AM173+Assumptions!$B$28*AO173+(-PV(Assumptions!$B$2,C173,R173+T173+AI173))</f>
        <v>93115.4251658106</v>
      </c>
      <c r="AQ173" s="0" t="n">
        <f aca="false">N173*(1+Assumptions!$B$8)</f>
        <v>19509.903</v>
      </c>
      <c r="AR173" s="1" t="n">
        <f aca="false">PMT(Assumptions!$B$5,Assumptions!$B$29,-AQ173)</f>
        <v>602.319966431956</v>
      </c>
      <c r="AS173" s="0" t="n">
        <f aca="false">MAX(0,AD173-H173)</f>
        <v>84</v>
      </c>
      <c r="AT173" s="0" t="n">
        <f aca="false">MIN(Assumptions!$B$29,AS173)</f>
        <v>36</v>
      </c>
      <c r="AU173" s="0" t="n">
        <f aca="false">IF(AS173&gt;=Assumptions!$B$29,0,-PV(Assumptions!$B$5,Assumptions!$B$29-AS173,AR173))</f>
        <v>0</v>
      </c>
      <c r="AV173" s="1" t="n">
        <f aca="false">(-PV(Assumptions!$B$3,AT173,AR173))/POWER(1+Assumptions!$B$2,AH173)</f>
        <v>17588.9917526188</v>
      </c>
      <c r="AW173" s="1" t="n">
        <f aca="false">-PV(Assumptions!$B$2,AH173,T173+AI173)</f>
        <v>5318.41766002654</v>
      </c>
      <c r="AX173" s="1" t="n">
        <f aca="false">(-PV(Assumptions!$B$2,C173,S173))-(-PV(Assumptions!$B$2,AH173,S173))</f>
        <v>8919.48888629116</v>
      </c>
      <c r="AY173" s="1" t="n">
        <f aca="false">AJ173+AW173+AX173+(-PV(Assumptions!$B$2,C173,R173))+X173-(W173/POWER(1+Assumptions!$B$2,C173))</f>
        <v>41997.517419518</v>
      </c>
      <c r="AZ173" s="1" t="n">
        <f aca="false">AY173+AV173+(AU173/POWER(1+Assumptions!$B$2,C173))</f>
        <v>59586.5091721368</v>
      </c>
      <c r="BA173" s="0" t="n">
        <f aca="false">AQ173/POWER(1+Assumptions!$B$2,AH173)</f>
        <v>16998.6747842181</v>
      </c>
      <c r="BB173" s="1" t="n">
        <f aca="false">AY173+BA173</f>
        <v>58996.1922037361</v>
      </c>
      <c r="BC173" s="1" t="n">
        <f aca="false">AJ173+Assumptions!$B$28/POWER(1+Assumptions!$B$2,AH173)+(-PV(Assumptions!$B$2,AH173,R173+T173+AI173))</f>
        <v>28181.0383311369</v>
      </c>
      <c r="BD173" s="1" t="n">
        <f aca="false">MIN(Z173,AG173,AZ173)</f>
        <v>55880.0208010655</v>
      </c>
      <c r="BE173" s="0" t="str">
        <f aca="false">IF(BD173=Z173,"Cash",IF(BD173=AG173,"Loan","Lease then buy out"))</f>
        <v>Cash</v>
      </c>
    </row>
    <row r="174" customFormat="false" ht="15" hidden="false" customHeight="false" outlineLevel="0" collapsed="false">
      <c r="A174" s="0" t="s">
        <v>31</v>
      </c>
      <c r="B174" s="0" t="s">
        <v>76</v>
      </c>
      <c r="C174" s="0" t="n">
        <v>10</v>
      </c>
      <c r="D174" s="0" t="n">
        <v>0</v>
      </c>
      <c r="E174" s="0" t="n">
        <v>36712</v>
      </c>
      <c r="F174" s="0" t="n">
        <v>4370</v>
      </c>
      <c r="G174" s="0" t="n">
        <v>317</v>
      </c>
      <c r="H174" s="0" t="n">
        <v>36</v>
      </c>
      <c r="I174" s="0" t="n">
        <v>36</v>
      </c>
      <c r="J174" s="0" t="n">
        <v>6000</v>
      </c>
      <c r="K174" s="0" t="s">
        <v>35</v>
      </c>
      <c r="L174" s="0" t="n">
        <v>120.4</v>
      </c>
      <c r="M174" s="0" t="n">
        <f aca="false">MAX(Assumptions!$B$33,Assumptions!$B$30-Assumptions!$B$31*(H174-36)-IF(D174=1,Assumptions!$B$32,0))</f>
        <v>0.57</v>
      </c>
      <c r="N174" s="0" t="n">
        <f aca="false">E174*M174</f>
        <v>20925.84</v>
      </c>
      <c r="O174" s="0" t="n">
        <f aca="false">1-POWER(J174/E174,0.1)</f>
        <v>0.165676799223019</v>
      </c>
      <c r="P174" s="0" t="n">
        <f aca="false">E174*(1+Assumptions!$B$8)+Assumptions!$B$9</f>
        <v>38947.6</v>
      </c>
      <c r="Q174" s="0" t="n">
        <f aca="false">IF(D174=1,Assumptions!$B$14*33.7,Assumptions!$B$13)</f>
        <v>3.1</v>
      </c>
      <c r="R174" s="0" t="n">
        <f aca="false">(Assumptions!$B$10/I174)*Q174</f>
        <v>861.111111111111</v>
      </c>
      <c r="S174" s="0" t="n">
        <f aca="false">Assumptions!$B$15+Assumptions!$B$17</f>
        <v>1750</v>
      </c>
      <c r="T174" s="0" t="n">
        <f aca="false">Assumptions!$B$15*(1+Assumptions!$B$16)+Assumptions!$B$17</f>
        <v>1942</v>
      </c>
      <c r="U174" s="0" t="n">
        <f aca="false">IF(OR(C174&gt;Assumptions!$B$11,Assumptions!$B$10*C174&gt;Assumptions!$B$12),1,0)</f>
        <v>0</v>
      </c>
      <c r="V174" s="0" t="n">
        <f aca="false">MAX(0.6,1-Assumptions!$B$22*MAX(0,(Assumptions!$B$10-10000)*C174)/10000)</f>
        <v>1</v>
      </c>
      <c r="W174" s="0" t="n">
        <f aca="false">IF(U174=1,Assumptions!$B$23,MAX(Assumptions!$B$23,E174*POWER(1-O174,C174)*V174))</f>
        <v>6000</v>
      </c>
      <c r="X174" s="0" t="n">
        <f aca="true">SUMPRODUCT((ROW(INDIRECT("1:"&amp;C174))&gt;Assumptions!$B$20)*Assumptions!$B$18*POWER(Assumptions!$B$19,ROW(INDIRECT("1:"&amp;C174))-Assumptions!$B$20-1)*IF(ROW(INDIRECT("1:"&amp;C174))&gt;Assumptions!$B$11,Assumptions!$B$21,1)/POWER(1+Assumptions!$B$2,ROW(INDIRECT("1:"&amp;C174))))</f>
        <v>7070.12417022456</v>
      </c>
      <c r="Y174" s="1" t="n">
        <f aca="false">-PV(Assumptions!$B$2,C174,R174+S174)+X174</f>
        <v>27529.4327073982</v>
      </c>
      <c r="Z174" s="1" t="n">
        <f aca="false">P174+Y174-(W174/POWER(1+Assumptions!$B$2,C174))</f>
        <v>62686.638029413</v>
      </c>
      <c r="AA174" s="0" t="n">
        <f aca="false">P174*Assumptions!$B$7</f>
        <v>3894.76</v>
      </c>
      <c r="AB174" s="0" t="n">
        <f aca="false">P174-AA174</f>
        <v>35052.84</v>
      </c>
      <c r="AC174" s="1" t="n">
        <f aca="false">PMT(Assumptions!$B$5,Assumptions!$B$6,-AB174)</f>
        <v>693.922876261162</v>
      </c>
      <c r="AD174" s="0" t="n">
        <f aca="false">C174*12</f>
        <v>120</v>
      </c>
      <c r="AE174" s="0" t="n">
        <f aca="false">MIN(Assumptions!$B$6,AD174)</f>
        <v>60</v>
      </c>
      <c r="AF174" s="0" t="n">
        <f aca="false">IF(AD174&gt;=Assumptions!$B$6,0,-PV(Assumptions!$B$5,Assumptions!$B$6-AD174,AC174))</f>
        <v>0</v>
      </c>
      <c r="AG174" s="1" t="n">
        <f aca="false">AA174+(-PV(Assumptions!$B$3,AE174,AC174))+Y174-((W174-AF174)/POWER(1+Assumptions!$B$2,C174))</f>
        <v>64674.4303208084</v>
      </c>
      <c r="AH174" s="0" t="n">
        <f aca="false">H174/12</f>
        <v>3</v>
      </c>
      <c r="AI174" s="0" t="n">
        <f aca="false">MAX(0,Assumptions!$B$10-Assumptions!$B$24)*Assumptions!$B$25</f>
        <v>0</v>
      </c>
      <c r="AJ174" s="1" t="n">
        <f aca="false">F174+Assumptions!$B$27+(-PV(Assumptions!$B$3,H174-1,G174))</f>
        <v>15419.2229409925</v>
      </c>
      <c r="AK174" s="0" t="n">
        <f aca="false">CEILING(C174/AH174,1)</f>
        <v>4</v>
      </c>
      <c r="AL174" s="0" t="n">
        <f aca="false">(1+Assumptions!$B$26)/POWER(1+Assumptions!$B$2,AH174)</f>
        <v>0.906135810905202</v>
      </c>
      <c r="AM174" s="0" t="n">
        <f aca="false">IF(ABS(1-AL174)&lt;0.000000000001,AK174,(1-POWER(AL174,AK174))/(1-AL174))</f>
        <v>3.47122982028551</v>
      </c>
      <c r="AN174" s="0" t="n">
        <f aca="false">1/POWER(1+Assumptions!$B$2,AH174)</f>
        <v>0.871284433562695</v>
      </c>
      <c r="AO174" s="0" t="n">
        <f aca="false">IF(ABS(1-AN174)&lt;0.000000000001,AK174,AN174*(1-POWER(AN174,AK174))/(1-AN174))</f>
        <v>2.86813319209759</v>
      </c>
      <c r="AP174" s="1" t="n">
        <f aca="false">AJ174*AM174+Assumptions!$B$28*AO174+(-PV(Assumptions!$B$2,C174,R174+T174+AI174))</f>
        <v>76634.640426554</v>
      </c>
      <c r="AQ174" s="0" t="n">
        <f aca="false">N174*(1+Assumptions!$B$8)</f>
        <v>21972.132</v>
      </c>
      <c r="AR174" s="1" t="n">
        <f aca="false">PMT(Assumptions!$B$5,Assumptions!$B$29,-AQ174)</f>
        <v>678.335192577764</v>
      </c>
      <c r="AS174" s="0" t="n">
        <f aca="false">MAX(0,AD174-H174)</f>
        <v>84</v>
      </c>
      <c r="AT174" s="0" t="n">
        <f aca="false">MIN(Assumptions!$B$29,AS174)</f>
        <v>36</v>
      </c>
      <c r="AU174" s="0" t="n">
        <f aca="false">IF(AS174&gt;=Assumptions!$B$29,0,-PV(Assumptions!$B$5,Assumptions!$B$29-AS174,AR174))</f>
        <v>0</v>
      </c>
      <c r="AV174" s="1" t="n">
        <f aca="false">(-PV(Assumptions!$B$3,AT174,AR174))/POWER(1+Assumptions!$B$2,AH174)</f>
        <v>19808.7939512283</v>
      </c>
      <c r="AW174" s="1" t="n">
        <f aca="false">-PV(Assumptions!$B$2,AH174,T174+AI174)</f>
        <v>5318.41766002654</v>
      </c>
      <c r="AX174" s="1" t="n">
        <f aca="false">(-PV(Assumptions!$B$2,C174,S174))-(-PV(Assumptions!$B$2,AH174,S174))</f>
        <v>8919.48888629116</v>
      </c>
      <c r="AY174" s="1" t="n">
        <f aca="false">AJ174+AW174+AX174+(-PV(Assumptions!$B$2,C174,R174))+X174-(W174/POWER(1+Assumptions!$B$2,C174))</f>
        <v>39684.0777524472</v>
      </c>
      <c r="AZ174" s="1" t="n">
        <f aca="false">AY174+AV174+(AU174/POWER(1+Assumptions!$B$2,C174))</f>
        <v>59492.8717036755</v>
      </c>
      <c r="BA174" s="0" t="n">
        <f aca="false">AQ174/POWER(1+Assumptions!$B$2,AH174)</f>
        <v>19143.9765837848</v>
      </c>
      <c r="BB174" s="1" t="n">
        <f aca="false">AY174+BA174</f>
        <v>58828.054336232</v>
      </c>
      <c r="BC174" s="1" t="n">
        <f aca="false">AJ174+Assumptions!$B$28/POWER(1+Assumptions!$B$2,AH174)+(-PV(Assumptions!$B$2,AH174,R174+T174+AI174))</f>
        <v>23444.4182985319</v>
      </c>
      <c r="BD174" s="1" t="n">
        <f aca="false">MIN(Z174,AG174,AZ174)</f>
        <v>59492.8717036755</v>
      </c>
      <c r="BE174" s="0" t="str">
        <f aca="false">IF(BD174=Z174,"Cash",IF(BD174=AG174,"Loan","Lease then buy out"))</f>
        <v>Lease then buy out</v>
      </c>
    </row>
    <row r="175" customFormat="false" ht="15" hidden="false" customHeight="false" outlineLevel="0" collapsed="false">
      <c r="A175" s="0" t="s">
        <v>58</v>
      </c>
      <c r="B175" s="0" t="s">
        <v>77</v>
      </c>
      <c r="C175" s="0" t="n">
        <v>10</v>
      </c>
      <c r="D175" s="0" t="n">
        <v>0</v>
      </c>
      <c r="E175" s="0" t="n">
        <v>43054</v>
      </c>
      <c r="F175" s="0" t="n">
        <v>3999</v>
      </c>
      <c r="G175" s="0" t="n">
        <v>439</v>
      </c>
      <c r="H175" s="0" t="n">
        <v>36</v>
      </c>
      <c r="I175" s="0" t="n">
        <v>41</v>
      </c>
      <c r="J175" s="0" t="n">
        <v>13500</v>
      </c>
      <c r="K175" s="0" t="s">
        <v>35</v>
      </c>
      <c r="L175" s="0" t="n">
        <v>121.3</v>
      </c>
      <c r="M175" s="0" t="n">
        <f aca="false">MAX(Assumptions!$B$33,Assumptions!$B$30-Assumptions!$B$31*(H175-36)-IF(D175=1,Assumptions!$B$32,0))</f>
        <v>0.57</v>
      </c>
      <c r="N175" s="0" t="n">
        <f aca="false">E175*M175</f>
        <v>24540.78</v>
      </c>
      <c r="O175" s="0" t="n">
        <f aca="false">1-POWER(J175/E175,0.1)</f>
        <v>0.109503890924716</v>
      </c>
      <c r="P175" s="0" t="n">
        <f aca="false">E175*(1+Assumptions!$B$8)+Assumptions!$B$9</f>
        <v>45606.7</v>
      </c>
      <c r="Q175" s="0" t="n">
        <f aca="false">IF(D175=1,Assumptions!$B$14*33.7,Assumptions!$B$13)</f>
        <v>3.1</v>
      </c>
      <c r="R175" s="0" t="n">
        <f aca="false">(Assumptions!$B$10/I175)*Q175</f>
        <v>756.09756097561</v>
      </c>
      <c r="S175" s="0" t="n">
        <f aca="false">Assumptions!$B$15+Assumptions!$B$17</f>
        <v>1750</v>
      </c>
      <c r="T175" s="0" t="n">
        <f aca="false">Assumptions!$B$15*(1+Assumptions!$B$16)+Assumptions!$B$17</f>
        <v>1942</v>
      </c>
      <c r="U175" s="0" t="n">
        <f aca="false">IF(OR(C175&gt;Assumptions!$B$11,Assumptions!$B$10*C175&gt;Assumptions!$B$12),1,0)</f>
        <v>0</v>
      </c>
      <c r="V175" s="0" t="n">
        <f aca="false">MAX(0.6,1-Assumptions!$B$22*MAX(0,(Assumptions!$B$10-10000)*C175)/10000)</f>
        <v>1</v>
      </c>
      <c r="W175" s="0" t="n">
        <f aca="false">IF(U175=1,Assumptions!$B$23,MAX(Assumptions!$B$23,E175*POWER(1-O175,C175)*V175))</f>
        <v>13500</v>
      </c>
      <c r="X175" s="0" t="n">
        <f aca="true">SUMPRODUCT((ROW(INDIRECT("1:"&amp;C175))&gt;Assumptions!$B$20)*Assumptions!$B$18*POWER(Assumptions!$B$19,ROW(INDIRECT("1:"&amp;C175))-Assumptions!$B$20-1)*IF(ROW(INDIRECT("1:"&amp;C175))&gt;Assumptions!$B$11,Assumptions!$B$21,1)/POWER(1+Assumptions!$B$2,ROW(INDIRECT("1:"&amp;C175))))</f>
        <v>7070.12417022456</v>
      </c>
      <c r="Y175" s="1" t="n">
        <f aca="false">-PV(Assumptions!$B$2,C175,R175+S175)+X175</f>
        <v>26706.6011497277</v>
      </c>
      <c r="Z175" s="1" t="n">
        <f aca="false">P175+Y175-(W175/POWER(1+Assumptions!$B$2,C175))</f>
        <v>63784.9131242609</v>
      </c>
      <c r="AA175" s="0" t="n">
        <f aca="false">P175*Assumptions!$B$7</f>
        <v>4560.67</v>
      </c>
      <c r="AB175" s="0" t="n">
        <f aca="false">P175-AA175</f>
        <v>41046.03</v>
      </c>
      <c r="AC175" s="1" t="n">
        <f aca="false">PMT(Assumptions!$B$5,Assumptions!$B$6,-AB175)</f>
        <v>812.566947405743</v>
      </c>
      <c r="AD175" s="0" t="n">
        <f aca="false">C175*12</f>
        <v>120</v>
      </c>
      <c r="AE175" s="0" t="n">
        <f aca="false">MIN(Assumptions!$B$6,AD175)</f>
        <v>60</v>
      </c>
      <c r="AF175" s="0" t="n">
        <f aca="false">IF(AD175&gt;=Assumptions!$B$6,0,-PV(Assumptions!$B$5,Assumptions!$B$6-AD175,AC175))</f>
        <v>0</v>
      </c>
      <c r="AG175" s="1" t="n">
        <f aca="false">AA175+(-PV(Assumptions!$B$3,AE175,AC175))+Y175-((W175-AF175)/POWER(1+Assumptions!$B$2,C175))</f>
        <v>66112.5699425497</v>
      </c>
      <c r="AH175" s="0" t="n">
        <f aca="false">H175/12</f>
        <v>3</v>
      </c>
      <c r="AI175" s="0" t="n">
        <f aca="false">MAX(0,Assumptions!$B$10-Assumptions!$B$24)*Assumptions!$B$25</f>
        <v>0</v>
      </c>
      <c r="AJ175" s="1" t="n">
        <f aca="false">F175+Assumptions!$B$27+(-PV(Assumptions!$B$3,H175-1,G175))</f>
        <v>19031.2046406805</v>
      </c>
      <c r="AK175" s="0" t="n">
        <f aca="false">CEILING(C175/AH175,1)</f>
        <v>4</v>
      </c>
      <c r="AL175" s="0" t="n">
        <f aca="false">(1+Assumptions!$B$26)/POWER(1+Assumptions!$B$2,AH175)</f>
        <v>0.906135810905202</v>
      </c>
      <c r="AM175" s="0" t="n">
        <f aca="false">IF(ABS(1-AL175)&lt;0.000000000001,AK175,(1-POWER(AL175,AK175))/(1-AL175))</f>
        <v>3.47122982028551</v>
      </c>
      <c r="AN175" s="0" t="n">
        <f aca="false">1/POWER(1+Assumptions!$B$2,AH175)</f>
        <v>0.871284433562695</v>
      </c>
      <c r="AO175" s="0" t="n">
        <f aca="false">IF(ABS(1-AN175)&lt;0.000000000001,AK175,AN175*(1-POWER(AN175,AK175))/(1-AN175))</f>
        <v>2.86813319209759</v>
      </c>
      <c r="AP175" s="1" t="n">
        <f aca="false">AJ175*AM175+Assumptions!$B$28*AO175+(-PV(Assumptions!$B$2,C175,R175+T175+AI175))</f>
        <v>88349.827455166</v>
      </c>
      <c r="AQ175" s="0" t="n">
        <f aca="false">N175*(1+Assumptions!$B$8)</f>
        <v>25767.819</v>
      </c>
      <c r="AR175" s="1" t="n">
        <f aca="false">PMT(Assumptions!$B$5,Assumptions!$B$29,-AQ175)</f>
        <v>795.517634049986</v>
      </c>
      <c r="AS175" s="0" t="n">
        <f aca="false">MAX(0,AD175-H175)</f>
        <v>84</v>
      </c>
      <c r="AT175" s="0" t="n">
        <f aca="false">MIN(Assumptions!$B$29,AS175)</f>
        <v>36</v>
      </c>
      <c r="AU175" s="0" t="n">
        <f aca="false">IF(AS175&gt;=Assumptions!$B$29,0,-PV(Assumptions!$B$5,Assumptions!$B$29-AS175,AR175))</f>
        <v>0</v>
      </c>
      <c r="AV175" s="1" t="n">
        <f aca="false">(-PV(Assumptions!$B$3,AT175,AR175))/POWER(1+Assumptions!$B$2,AH175)</f>
        <v>23230.7641854485</v>
      </c>
      <c r="AW175" s="1" t="n">
        <f aca="false">-PV(Assumptions!$B$2,AH175,T175+AI175)</f>
        <v>5318.41766002654</v>
      </c>
      <c r="AX175" s="1" t="n">
        <f aca="false">(-PV(Assumptions!$B$2,C175,S175))-(-PV(Assumptions!$B$2,AH175,S175))</f>
        <v>8919.48888629116</v>
      </c>
      <c r="AY175" s="1" t="n">
        <f aca="false">AJ175+AW175+AX175+(-PV(Assumptions!$B$2,C175,R175))+X175-(W175/POWER(1+Assumptions!$B$2,C175))</f>
        <v>37735.2345469832</v>
      </c>
      <c r="AZ175" s="1" t="n">
        <f aca="false">AY175+AV175+(AU175/POWER(1+Assumptions!$B$2,C175))</f>
        <v>60965.9987324316</v>
      </c>
      <c r="BA175" s="0" t="n">
        <f aca="false">AQ175/POWER(1+Assumptions!$B$2,AH175)</f>
        <v>22451.099581561</v>
      </c>
      <c r="BB175" s="1" t="n">
        <f aca="false">AY175+BA175</f>
        <v>60186.3341285442</v>
      </c>
      <c r="BC175" s="1" t="n">
        <f aca="false">AJ175+Assumptions!$B$28/POWER(1+Assumptions!$B$2,AH175)+(-PV(Assumptions!$B$2,AH175,R175+T175+AI175))</f>
        <v>26768.8068367457</v>
      </c>
      <c r="BD175" s="1" t="n">
        <f aca="false">MIN(Z175,AG175,AZ175)</f>
        <v>60965.9987324316</v>
      </c>
      <c r="BE175" s="0" t="str">
        <f aca="false">IF(BD175=Z175,"Cash",IF(BD175=AG175,"Loan","Lease then buy out"))</f>
        <v>Lease then buy out</v>
      </c>
    </row>
    <row r="176" customFormat="false" ht="15" hidden="false" customHeight="false" outlineLevel="0" collapsed="false">
      <c r="A176" s="0" t="s">
        <v>78</v>
      </c>
      <c r="B176" s="0" t="s">
        <v>79</v>
      </c>
      <c r="C176" s="0" t="n">
        <v>10</v>
      </c>
      <c r="D176" s="0" t="n">
        <v>0</v>
      </c>
      <c r="E176" s="0" t="n">
        <v>42080</v>
      </c>
      <c r="F176" s="0" t="n">
        <v>3010</v>
      </c>
      <c r="G176" s="0" t="n">
        <v>510</v>
      </c>
      <c r="H176" s="0" t="n">
        <v>36</v>
      </c>
      <c r="I176" s="0" t="n">
        <v>28</v>
      </c>
      <c r="J176" s="0" t="n">
        <v>15798</v>
      </c>
      <c r="K176" s="0" t="s">
        <v>35</v>
      </c>
      <c r="L176" s="0" t="n">
        <v>142.9</v>
      </c>
      <c r="M176" s="0" t="n">
        <f aca="false">MAX(Assumptions!$B$33,Assumptions!$B$30-Assumptions!$B$31*(H176-36)-IF(D176=1,Assumptions!$B$32,0))</f>
        <v>0.57</v>
      </c>
      <c r="N176" s="0" t="n">
        <f aca="false">E176*M176</f>
        <v>23985.6</v>
      </c>
      <c r="O176" s="0" t="n">
        <f aca="false">1-POWER(J176/E176,0.1)</f>
        <v>0.0933229188545778</v>
      </c>
      <c r="P176" s="0" t="n">
        <f aca="false">E176*(1+Assumptions!$B$8)+Assumptions!$B$9</f>
        <v>44584</v>
      </c>
      <c r="Q176" s="0" t="n">
        <f aca="false">IF(D176=1,Assumptions!$B$14*33.7,Assumptions!$B$13)</f>
        <v>3.1</v>
      </c>
      <c r="R176" s="0" t="n">
        <f aca="false">(Assumptions!$B$10/I176)*Q176</f>
        <v>1107.14285714286</v>
      </c>
      <c r="S176" s="0" t="n">
        <f aca="false">Assumptions!$B$15+Assumptions!$B$17</f>
        <v>1750</v>
      </c>
      <c r="T176" s="0" t="n">
        <f aca="false">Assumptions!$B$15*(1+Assumptions!$B$16)+Assumptions!$B$17</f>
        <v>1942</v>
      </c>
      <c r="U176" s="0" t="n">
        <f aca="false">IF(OR(C176&gt;Assumptions!$B$11,Assumptions!$B$10*C176&gt;Assumptions!$B$12),1,0)</f>
        <v>0</v>
      </c>
      <c r="V176" s="0" t="n">
        <f aca="false">MAX(0.6,1-Assumptions!$B$22*MAX(0,(Assumptions!$B$10-10000)*C176)/10000)</f>
        <v>1</v>
      </c>
      <c r="W176" s="0" t="n">
        <f aca="false">IF(U176=1,Assumptions!$B$23,MAX(Assumptions!$B$23,E176*POWER(1-O176,C176)*V176))</f>
        <v>15798</v>
      </c>
      <c r="X176" s="0" t="n">
        <f aca="true">SUMPRODUCT((ROW(INDIRECT("1:"&amp;C176))&gt;Assumptions!$B$20)*Assumptions!$B$18*POWER(Assumptions!$B$19,ROW(INDIRECT("1:"&amp;C176))-Assumptions!$B$20-1)*IF(ROW(INDIRECT("1:"&amp;C176))&gt;Assumptions!$B$11,Assumptions!$B$21,1)/POWER(1+Assumptions!$B$2,ROW(INDIRECT("1:"&amp;C176))))</f>
        <v>7070.12417022456</v>
      </c>
      <c r="Y176" s="1" t="n">
        <f aca="false">-PV(Assumptions!$B$2,C176,R176+S176)+X176</f>
        <v>29457.2094996547</v>
      </c>
      <c r="Z176" s="1" t="n">
        <f aca="false">P176+Y176-(W176/POWER(1+Assumptions!$B$2,C176))</f>
        <v>64061.1003125195</v>
      </c>
      <c r="AA176" s="0" t="n">
        <f aca="false">P176*Assumptions!$B$7</f>
        <v>4458.4</v>
      </c>
      <c r="AB176" s="0" t="n">
        <f aca="false">P176-AA176</f>
        <v>40125.6</v>
      </c>
      <c r="AC176" s="1" t="n">
        <f aca="false">PMT(Assumptions!$B$5,Assumptions!$B$6,-AB176)</f>
        <v>794.345672524819</v>
      </c>
      <c r="AD176" s="0" t="n">
        <f aca="false">C176*12</f>
        <v>120</v>
      </c>
      <c r="AE176" s="0" t="n">
        <f aca="false">MIN(Assumptions!$B$6,AD176)</f>
        <v>60</v>
      </c>
      <c r="AF176" s="0" t="n">
        <f aca="false">IF(AD176&gt;=Assumptions!$B$6,0,-PV(Assumptions!$B$5,Assumptions!$B$6-AD176,AC176))</f>
        <v>0</v>
      </c>
      <c r="AG176" s="1" t="n">
        <f aca="false">AA176+(-PV(Assumptions!$B$3,AE176,AC176))+Y176-((W176-AF176)/POWER(1+Assumptions!$B$2,C176))</f>
        <v>66336.5609704182</v>
      </c>
      <c r="AH176" s="0" t="n">
        <f aca="false">H176/12</f>
        <v>3</v>
      </c>
      <c r="AI176" s="0" t="n">
        <f aca="false">MAX(0,Assumptions!$B$10-Assumptions!$B$24)*Assumptions!$B$25</f>
        <v>0</v>
      </c>
      <c r="AJ176" s="1" t="n">
        <f aca="false">F176+Assumptions!$B$27+(-PV(Assumptions!$B$3,H176-1,G176))</f>
        <v>20360.1694003349</v>
      </c>
      <c r="AK176" s="0" t="n">
        <f aca="false">CEILING(C176/AH176,1)</f>
        <v>4</v>
      </c>
      <c r="AL176" s="0" t="n">
        <f aca="false">(1+Assumptions!$B$26)/POWER(1+Assumptions!$B$2,AH176)</f>
        <v>0.906135810905202</v>
      </c>
      <c r="AM176" s="0" t="n">
        <f aca="false">IF(ABS(1-AL176)&lt;0.000000000001,AK176,(1-POWER(AL176,AK176))/(1-AL176))</f>
        <v>3.47122982028551</v>
      </c>
      <c r="AN176" s="0" t="n">
        <f aca="false">1/POWER(1+Assumptions!$B$2,AH176)</f>
        <v>0.871284433562695</v>
      </c>
      <c r="AO176" s="0" t="n">
        <f aca="false">IF(ABS(1-AN176)&lt;0.000000000001,AK176,AN176*(1-POWER(AN176,AK176))/(1-AN176))</f>
        <v>2.86813319209759</v>
      </c>
      <c r="AP176" s="1" t="n">
        <f aca="false">AJ176*AM176+Assumptions!$B$28*AO176+(-PV(Assumptions!$B$2,C176,R176+T176+AI176))</f>
        <v>95713.577908914</v>
      </c>
      <c r="AQ176" s="0" t="n">
        <f aca="false">N176*(1+Assumptions!$B$8)</f>
        <v>25184.88</v>
      </c>
      <c r="AR176" s="1" t="n">
        <f aca="false">PMT(Assumptions!$B$5,Assumptions!$B$29,-AQ176)</f>
        <v>777.520835249301</v>
      </c>
      <c r="AS176" s="0" t="n">
        <f aca="false">MAX(0,AD176-H176)</f>
        <v>84</v>
      </c>
      <c r="AT176" s="0" t="n">
        <f aca="false">MIN(Assumptions!$B$29,AS176)</f>
        <v>36</v>
      </c>
      <c r="AU176" s="0" t="n">
        <f aca="false">IF(AS176&gt;=Assumptions!$B$29,0,-PV(Assumptions!$B$5,Assumptions!$B$29-AS176,AR176))</f>
        <v>0</v>
      </c>
      <c r="AV176" s="1" t="n">
        <f aca="false">(-PV(Assumptions!$B$3,AT176,AR176))/POWER(1+Assumptions!$B$2,AH176)</f>
        <v>22705.220349414</v>
      </c>
      <c r="AW176" s="1" t="n">
        <f aca="false">-PV(Assumptions!$B$2,AH176,T176+AI176)</f>
        <v>5318.41766002654</v>
      </c>
      <c r="AX176" s="1" t="n">
        <f aca="false">(-PV(Assumptions!$B$2,C176,S176))-(-PV(Assumptions!$B$2,AH176,S176))</f>
        <v>8919.48888629116</v>
      </c>
      <c r="AY176" s="1" t="n">
        <f aca="false">AJ176+AW176+AX176+(-PV(Assumptions!$B$2,C176,R176))+X176-(W176/POWER(1+Assumptions!$B$2,C176))</f>
        <v>40363.0864948962</v>
      </c>
      <c r="AZ176" s="1" t="n">
        <f aca="false">AY176+AV176+(AU176/POWER(1+Assumptions!$B$2,C176))</f>
        <v>63068.3068443102</v>
      </c>
      <c r="BA176" s="0" t="n">
        <f aca="false">AQ176/POWER(1+Assumptions!$B$2,AH176)</f>
        <v>21943.1939051444</v>
      </c>
      <c r="BB176" s="1" t="n">
        <f aca="false">AY176+BA176</f>
        <v>62306.2804000407</v>
      </c>
      <c r="BC176" s="1" t="n">
        <f aca="false">AJ176+Assumptions!$B$28/POWER(1+Assumptions!$B$2,AH176)+(-PV(Assumptions!$B$2,AH176,R176+T176+AI176))</f>
        <v>29059.1544504708</v>
      </c>
      <c r="BD176" s="1" t="n">
        <f aca="false">MIN(Z176,AG176,AZ176)</f>
        <v>63068.3068443102</v>
      </c>
      <c r="BE176" s="0" t="str">
        <f aca="false">IF(BD176=Z176,"Cash",IF(BD176=AG176,"Loan","Lease then buy out"))</f>
        <v>Lease then buy out</v>
      </c>
    </row>
    <row r="177" customFormat="false" ht="15" hidden="false" customHeight="false" outlineLevel="0" collapsed="false">
      <c r="A177" s="0" t="s">
        <v>80</v>
      </c>
      <c r="B177" s="0" t="s">
        <v>81</v>
      </c>
      <c r="C177" s="0" t="n">
        <v>10</v>
      </c>
      <c r="D177" s="0" t="n">
        <v>0</v>
      </c>
      <c r="E177" s="0" t="n">
        <v>46900</v>
      </c>
      <c r="F177" s="0" t="n">
        <v>4399</v>
      </c>
      <c r="G177" s="0" t="n">
        <v>599</v>
      </c>
      <c r="H177" s="0" t="n">
        <v>36</v>
      </c>
      <c r="I177" s="0" t="n">
        <v>26</v>
      </c>
      <c r="J177" s="0" t="n">
        <v>15219</v>
      </c>
      <c r="K177" s="0" t="s">
        <v>35</v>
      </c>
      <c r="L177" s="0" t="n">
        <v>163.3</v>
      </c>
      <c r="M177" s="0" t="n">
        <f aca="false">MAX(Assumptions!$B$33,Assumptions!$B$30-Assumptions!$B$31*(H177-36)-IF(D177=1,Assumptions!$B$32,0))</f>
        <v>0.57</v>
      </c>
      <c r="N177" s="0" t="n">
        <f aca="false">E177*M177</f>
        <v>26733</v>
      </c>
      <c r="O177" s="0" t="n">
        <f aca="false">1-POWER(J177/E177,0.1)</f>
        <v>0.106444921566187</v>
      </c>
      <c r="P177" s="0" t="n">
        <f aca="false">E177*(1+Assumptions!$B$8)+Assumptions!$B$9</f>
        <v>49645</v>
      </c>
      <c r="Q177" s="0" t="n">
        <f aca="false">IF(D177=1,Assumptions!$B$14*33.7,Assumptions!$B$13)</f>
        <v>3.1</v>
      </c>
      <c r="R177" s="0" t="n">
        <f aca="false">(Assumptions!$B$10/I177)*Q177</f>
        <v>1192.30769230769</v>
      </c>
      <c r="S177" s="0" t="n">
        <f aca="false">Assumptions!$B$15+Assumptions!$B$17</f>
        <v>1750</v>
      </c>
      <c r="T177" s="0" t="n">
        <f aca="false">Assumptions!$B$15*(1+Assumptions!$B$16)+Assumptions!$B$17</f>
        <v>1942</v>
      </c>
      <c r="U177" s="0" t="n">
        <f aca="false">IF(OR(C177&gt;Assumptions!$B$11,Assumptions!$B$10*C177&gt;Assumptions!$B$12),1,0)</f>
        <v>0</v>
      </c>
      <c r="V177" s="0" t="n">
        <f aca="false">MAX(0.6,1-Assumptions!$B$22*MAX(0,(Assumptions!$B$10-10000)*C177)/10000)</f>
        <v>1</v>
      </c>
      <c r="W177" s="0" t="n">
        <f aca="false">IF(U177=1,Assumptions!$B$23,MAX(Assumptions!$B$23,E177*POWER(1-O177,C177)*V177))</f>
        <v>15219</v>
      </c>
      <c r="X177" s="0" t="n">
        <f aca="true">SUMPRODUCT((ROW(INDIRECT("1:"&amp;C177))&gt;Assumptions!$B$20)*Assumptions!$B$18*POWER(Assumptions!$B$19,ROW(INDIRECT("1:"&amp;C177))-Assumptions!$B$20-1)*IF(ROW(INDIRECT("1:"&amp;C177))&gt;Assumptions!$B$11,Assumptions!$B$21,1)/POWER(1+Assumptions!$B$2,ROW(INDIRECT("1:"&amp;C177))))</f>
        <v>7070.12417022456</v>
      </c>
      <c r="Y177" s="1" t="n">
        <f aca="false">-PV(Assumptions!$B$2,C177,R177+S177)+X177</f>
        <v>30124.5168508204</v>
      </c>
      <c r="Z177" s="1" t="n">
        <f aca="false">P177+Y177-(W177/POWER(1+Assumptions!$B$2,C177))</f>
        <v>70155.1807501108</v>
      </c>
      <c r="AA177" s="0" t="n">
        <f aca="false">P177*Assumptions!$B$7</f>
        <v>4964.5</v>
      </c>
      <c r="AB177" s="0" t="n">
        <f aca="false">P177-AA177</f>
        <v>44680.5</v>
      </c>
      <c r="AC177" s="1" t="n">
        <f aca="false">PMT(Assumptions!$B$5,Assumptions!$B$6,-AB177)</f>
        <v>884.516663208654</v>
      </c>
      <c r="AD177" s="0" t="n">
        <f aca="false">C177*12</f>
        <v>120</v>
      </c>
      <c r="AE177" s="0" t="n">
        <f aca="false">MIN(Assumptions!$B$6,AD177)</f>
        <v>60</v>
      </c>
      <c r="AF177" s="0" t="n">
        <f aca="false">IF(AD177&gt;=Assumptions!$B$6,0,-PV(Assumptions!$B$5,Assumptions!$B$6-AD177,AC177))</f>
        <v>0</v>
      </c>
      <c r="AG177" s="1" t="n">
        <f aca="false">AA177+(-PV(Assumptions!$B$3,AE177,AC177))+Y177-((W177-AF177)/POWER(1+Assumptions!$B$2,C177))</f>
        <v>72688.9427356073</v>
      </c>
      <c r="AH177" s="0" t="n">
        <f aca="false">H177/12</f>
        <v>3</v>
      </c>
      <c r="AI177" s="0" t="n">
        <f aca="false">MAX(0,Assumptions!$B$10-Assumptions!$B$24)*Assumptions!$B$25</f>
        <v>0</v>
      </c>
      <c r="AJ177" s="1" t="n">
        <f aca="false">F177+Assumptions!$B$27+(-PV(Assumptions!$B$3,H177-1,G177))</f>
        <v>24654.7871976483</v>
      </c>
      <c r="AK177" s="0" t="n">
        <f aca="false">CEILING(C177/AH177,1)</f>
        <v>4</v>
      </c>
      <c r="AL177" s="0" t="n">
        <f aca="false">(1+Assumptions!$B$26)/POWER(1+Assumptions!$B$2,AH177)</f>
        <v>0.906135810905202</v>
      </c>
      <c r="AM177" s="0" t="n">
        <f aca="false">IF(ABS(1-AL177)&lt;0.000000000001,AK177,(1-POWER(AL177,AK177))/(1-AL177))</f>
        <v>3.47122982028551</v>
      </c>
      <c r="AN177" s="0" t="n">
        <f aca="false">1/POWER(1+Assumptions!$B$2,AH177)</f>
        <v>0.871284433562695</v>
      </c>
      <c r="AO177" s="0" t="n">
        <f aca="false">IF(ABS(1-AN177)&lt;0.000000000001,AK177,AN177*(1-POWER(AN177,AK177))/(1-AN177))</f>
        <v>2.86813319209759</v>
      </c>
      <c r="AP177" s="1" t="n">
        <f aca="false">AJ177*AM177+Assumptions!$B$28*AO177+(-PV(Assumptions!$B$2,C177,R177+T177+AI177))</f>
        <v>111288.490624843</v>
      </c>
      <c r="AQ177" s="0" t="n">
        <f aca="false">N177*(1+Assumptions!$B$8)</f>
        <v>28069.65</v>
      </c>
      <c r="AR177" s="1" t="n">
        <f aca="false">PMT(Assumptions!$B$5,Assumptions!$B$29,-AQ177)</f>
        <v>866.580968944682</v>
      </c>
      <c r="AS177" s="0" t="n">
        <f aca="false">MAX(0,AD177-H177)</f>
        <v>84</v>
      </c>
      <c r="AT177" s="0" t="n">
        <f aca="false">MIN(Assumptions!$B$29,AS177)</f>
        <v>36</v>
      </c>
      <c r="AU177" s="0" t="n">
        <f aca="false">IF(AS177&gt;=Assumptions!$B$29,0,-PV(Assumptions!$B$5,Assumptions!$B$29-AS177,AR177))</f>
        <v>0</v>
      </c>
      <c r="AV177" s="1" t="n">
        <f aca="false">(-PV(Assumptions!$B$3,AT177,AR177))/POWER(1+Assumptions!$B$2,AH177)</f>
        <v>25305.9608932395</v>
      </c>
      <c r="AW177" s="1" t="n">
        <f aca="false">-PV(Assumptions!$B$2,AH177,T177+AI177)</f>
        <v>5318.41766002654</v>
      </c>
      <c r="AX177" s="1" t="n">
        <f aca="false">(-PV(Assumptions!$B$2,C177,S177))-(-PV(Assumptions!$B$2,AH177,S177))</f>
        <v>8919.48888629116</v>
      </c>
      <c r="AY177" s="1" t="n">
        <f aca="false">AJ177+AW177+AX177+(-PV(Assumptions!$B$2,C177,R177))+X177-(W177/POWER(1+Assumptions!$B$2,C177))</f>
        <v>45690.7847298008</v>
      </c>
      <c r="AZ177" s="1" t="n">
        <f aca="false">AY177+AV177+(AU177/POWER(1+Assumptions!$B$2,C177))</f>
        <v>70996.7456230403</v>
      </c>
      <c r="BA177" s="0" t="n">
        <f aca="false">AQ177/POWER(1+Assumptions!$B$2,AH177)</f>
        <v>24456.6491005531</v>
      </c>
      <c r="BB177" s="1" t="n">
        <f aca="false">AY177+BA177</f>
        <v>70147.4338303539</v>
      </c>
      <c r="BC177" s="1" t="n">
        <f aca="false">AJ177+Assumptions!$B$28/POWER(1+Assumptions!$B$2,AH177)+(-PV(Assumptions!$B$2,AH177,R177+T177+AI177))</f>
        <v>33587.0071413752</v>
      </c>
      <c r="BD177" s="1" t="n">
        <f aca="false">MIN(Z177,AG177,AZ177)</f>
        <v>70155.1807501108</v>
      </c>
      <c r="BE177" s="0" t="str">
        <f aca="false">IF(BD177=Z177,"Cash",IF(BD177=AG177,"Loan","Lease then buy out"))</f>
        <v>Cash</v>
      </c>
    </row>
    <row r="178" customFormat="false" ht="15" hidden="false" customHeight="false" outlineLevel="0" collapsed="false">
      <c r="A178" s="0" t="s">
        <v>82</v>
      </c>
      <c r="B178" s="0" t="s">
        <v>83</v>
      </c>
      <c r="C178" s="0" t="n">
        <v>10</v>
      </c>
      <c r="D178" s="0" t="n">
        <v>0</v>
      </c>
      <c r="E178" s="0" t="n">
        <v>46469</v>
      </c>
      <c r="F178" s="0" t="n">
        <v>3125</v>
      </c>
      <c r="G178" s="0" t="n">
        <v>625</v>
      </c>
      <c r="H178" s="0" t="n">
        <v>36</v>
      </c>
      <c r="I178" s="0" t="n">
        <v>23</v>
      </c>
      <c r="J178" s="0" t="n">
        <v>15292</v>
      </c>
      <c r="K178" s="0" t="s">
        <v>35</v>
      </c>
      <c r="L178" s="0" t="n">
        <v>164.1</v>
      </c>
      <c r="M178" s="0" t="n">
        <f aca="false">MAX(Assumptions!$B$33,Assumptions!$B$30-Assumptions!$B$31*(H178-36)-IF(D178=1,Assumptions!$B$32,0))</f>
        <v>0.57</v>
      </c>
      <c r="N178" s="0" t="n">
        <f aca="false">E178*M178</f>
        <v>26487.33</v>
      </c>
      <c r="O178" s="0" t="n">
        <f aca="false">1-POWER(J178/E178,0.1)</f>
        <v>0.105191509570265</v>
      </c>
      <c r="P178" s="0" t="n">
        <f aca="false">E178*(1+Assumptions!$B$8)+Assumptions!$B$9</f>
        <v>49192.45</v>
      </c>
      <c r="Q178" s="0" t="n">
        <f aca="false">IF(D178=1,Assumptions!$B$14*33.7,Assumptions!$B$13)</f>
        <v>3.1</v>
      </c>
      <c r="R178" s="0" t="n">
        <f aca="false">(Assumptions!$B$10/I178)*Q178</f>
        <v>1347.82608695652</v>
      </c>
      <c r="S178" s="0" t="n">
        <f aca="false">Assumptions!$B$15+Assumptions!$B$17</f>
        <v>1750</v>
      </c>
      <c r="T178" s="0" t="n">
        <f aca="false">Assumptions!$B$15*(1+Assumptions!$B$16)+Assumptions!$B$17</f>
        <v>1942</v>
      </c>
      <c r="U178" s="0" t="n">
        <f aca="false">IF(OR(C178&gt;Assumptions!$B$11,Assumptions!$B$10*C178&gt;Assumptions!$B$12),1,0)</f>
        <v>0</v>
      </c>
      <c r="V178" s="0" t="n">
        <f aca="false">MAX(0.6,1-Assumptions!$B$22*MAX(0,(Assumptions!$B$10-10000)*C178)/10000)</f>
        <v>1</v>
      </c>
      <c r="W178" s="0" t="n">
        <f aca="false">IF(U178=1,Assumptions!$B$23,MAX(Assumptions!$B$23,E178*POWER(1-O178,C178)*V178))</f>
        <v>15292</v>
      </c>
      <c r="X178" s="0" t="n">
        <f aca="true">SUMPRODUCT((ROW(INDIRECT("1:"&amp;C178))&gt;Assumptions!$B$20)*Assumptions!$B$18*POWER(Assumptions!$B$19,ROW(INDIRECT("1:"&amp;C178))-Assumptions!$B$20-1)*IF(ROW(INDIRECT("1:"&amp;C178))&gt;Assumptions!$B$11,Assumptions!$B$21,1)/POWER(1+Assumptions!$B$2,ROW(INDIRECT("1:"&amp;C178))))</f>
        <v>7070.12417022456</v>
      </c>
      <c r="Y178" s="1" t="n">
        <f aca="false">-PV(Assumptions!$B$2,C178,R178+S178)+X178</f>
        <v>31343.0781007752</v>
      </c>
      <c r="Z178" s="1" t="n">
        <f aca="false">P178+Y178-(W178/POWER(1+Assumptions!$B$2,C178))</f>
        <v>70875.0755314834</v>
      </c>
      <c r="AA178" s="0" t="n">
        <f aca="false">P178*Assumptions!$B$7</f>
        <v>4919.245</v>
      </c>
      <c r="AB178" s="0" t="n">
        <f aca="false">P178-AA178</f>
        <v>44273.205</v>
      </c>
      <c r="AC178" s="1" t="n">
        <f aca="false">PMT(Assumptions!$B$5,Assumptions!$B$6,-AB178)</f>
        <v>876.453655535473</v>
      </c>
      <c r="AD178" s="0" t="n">
        <f aca="false">C178*12</f>
        <v>120</v>
      </c>
      <c r="AE178" s="0" t="n">
        <f aca="false">MIN(Assumptions!$B$6,AD178)</f>
        <v>60</v>
      </c>
      <c r="AF178" s="0" t="n">
        <f aca="false">IF(AD178&gt;=Assumptions!$B$6,0,-PV(Assumptions!$B$5,Assumptions!$B$6-AD178,AC178))</f>
        <v>0</v>
      </c>
      <c r="AG178" s="1" t="n">
        <f aca="false">AA178+(-PV(Assumptions!$B$3,AE178,AC178))+Y178-((W178-AF178)/POWER(1+Assumptions!$B$2,C178))</f>
        <v>73385.7404480599</v>
      </c>
      <c r="AH178" s="0" t="n">
        <f aca="false">H178/12</f>
        <v>3</v>
      </c>
      <c r="AI178" s="0" t="n">
        <f aca="false">MAX(0,Assumptions!$B$10-Assumptions!$B$24)*Assumptions!$B$25</f>
        <v>0</v>
      </c>
      <c r="AJ178" s="1" t="n">
        <f aca="false">F178+Assumptions!$B$27+(-PV(Assumptions!$B$3,H178-1,G178))</f>
        <v>24229.6193631555</v>
      </c>
      <c r="AK178" s="0" t="n">
        <f aca="false">CEILING(C178/AH178,1)</f>
        <v>4</v>
      </c>
      <c r="AL178" s="0" t="n">
        <f aca="false">(1+Assumptions!$B$26)/POWER(1+Assumptions!$B$2,AH178)</f>
        <v>0.906135810905202</v>
      </c>
      <c r="AM178" s="0" t="n">
        <f aca="false">IF(ABS(1-AL178)&lt;0.000000000001,AK178,(1-POWER(AL178,AK178))/(1-AL178))</f>
        <v>3.47122982028551</v>
      </c>
      <c r="AN178" s="0" t="n">
        <f aca="false">1/POWER(1+Assumptions!$B$2,AH178)</f>
        <v>0.871284433562695</v>
      </c>
      <c r="AO178" s="0" t="n">
        <f aca="false">IF(ABS(1-AN178)&lt;0.000000000001,AK178,AN178*(1-POWER(AN178,AK178))/(1-AN178))</f>
        <v>2.86813319209759</v>
      </c>
      <c r="AP178" s="1" t="n">
        <f aca="false">AJ178*AM178+Assumptions!$B$28*AO178+(-PV(Assumptions!$B$2,C178,R178+T178+AI178))</f>
        <v>111031.19660908</v>
      </c>
      <c r="AQ178" s="0" t="n">
        <f aca="false">N178*(1+Assumptions!$B$8)</f>
        <v>27811.6965</v>
      </c>
      <c r="AR178" s="1" t="n">
        <f aca="false">PMT(Assumptions!$B$5,Assumptions!$B$29,-AQ178)</f>
        <v>858.617293089348</v>
      </c>
      <c r="AS178" s="0" t="n">
        <f aca="false">MAX(0,AD178-H178)</f>
        <v>84</v>
      </c>
      <c r="AT178" s="0" t="n">
        <f aca="false">MIN(Assumptions!$B$29,AS178)</f>
        <v>36</v>
      </c>
      <c r="AU178" s="0" t="n">
        <f aca="false">IF(AS178&gt;=Assumptions!$B$29,0,-PV(Assumptions!$B$5,Assumptions!$B$29-AS178,AR178))</f>
        <v>0</v>
      </c>
      <c r="AV178" s="1" t="n">
        <f aca="false">(-PV(Assumptions!$B$3,AT178,AR178))/POWER(1+Assumptions!$B$2,AH178)</f>
        <v>25073.4050479306</v>
      </c>
      <c r="AW178" s="1" t="n">
        <f aca="false">-PV(Assumptions!$B$2,AH178,T178+AI178)</f>
        <v>5318.41766002654</v>
      </c>
      <c r="AX178" s="1" t="n">
        <f aca="false">(-PV(Assumptions!$B$2,C178,S178))-(-PV(Assumptions!$B$2,AH178,S178))</f>
        <v>8919.48888629116</v>
      </c>
      <c r="AY178" s="1" t="n">
        <f aca="false">AJ178+AW178+AX178+(-PV(Assumptions!$B$2,C178,R178))+X178-(W178/POWER(1+Assumptions!$B$2,C178))</f>
        <v>46438.0616766807</v>
      </c>
      <c r="AZ178" s="1" t="n">
        <f aca="false">AY178+AV178+(AU178/POWER(1+Assumptions!$B$2,C178))</f>
        <v>71511.4667246113</v>
      </c>
      <c r="BA178" s="0" t="n">
        <f aca="false">AQ178/POWER(1+Assumptions!$B$2,AH178)</f>
        <v>24231.8982314201</v>
      </c>
      <c r="BB178" s="1" t="n">
        <f aca="false">AY178+BA178</f>
        <v>70669.9599081008</v>
      </c>
      <c r="BC178" s="1" t="n">
        <f aca="false">AJ178+Assumptions!$B$28/POWER(1+Assumptions!$B$2,AH178)+(-PV(Assumptions!$B$2,AH178,R178+T178+AI178))</f>
        <v>33587.746503875</v>
      </c>
      <c r="BD178" s="1" t="n">
        <f aca="false">MIN(Z178,AG178,AZ178)</f>
        <v>70875.0755314834</v>
      </c>
      <c r="BE178" s="0" t="str">
        <f aca="false">IF(BD178=Z178,"Cash",IF(BD178=AG178,"Loan","Lease then buy out"))</f>
        <v>Cash</v>
      </c>
    </row>
    <row r="179" customFormat="false" ht="15" hidden="false" customHeight="false" outlineLevel="0" collapsed="false">
      <c r="A179" s="0" t="s">
        <v>84</v>
      </c>
      <c r="B179" s="0" t="s">
        <v>85</v>
      </c>
      <c r="C179" s="0" t="n">
        <v>10</v>
      </c>
      <c r="D179" s="0" t="n">
        <v>0</v>
      </c>
      <c r="E179" s="0" t="n">
        <v>49687</v>
      </c>
      <c r="F179" s="0" t="n">
        <v>3201</v>
      </c>
      <c r="G179" s="0" t="n">
        <v>701</v>
      </c>
      <c r="H179" s="0" t="n">
        <v>36</v>
      </c>
      <c r="I179" s="0" t="n">
        <v>28</v>
      </c>
      <c r="J179" s="0" t="n">
        <v>18823</v>
      </c>
      <c r="K179" s="0" t="s">
        <v>35</v>
      </c>
      <c r="L179" s="0" t="n">
        <v>153.5</v>
      </c>
      <c r="M179" s="0" t="n">
        <f aca="false">MAX(Assumptions!$B$33,Assumptions!$B$30-Assumptions!$B$31*(H179-36)-IF(D179=1,Assumptions!$B$32,0))</f>
        <v>0.57</v>
      </c>
      <c r="N179" s="0" t="n">
        <f aca="false">E179*M179</f>
        <v>28321.59</v>
      </c>
      <c r="O179" s="0" t="n">
        <f aca="false">1-POWER(J179/E179,0.1)</f>
        <v>0.0925042357189116</v>
      </c>
      <c r="P179" s="0" t="n">
        <f aca="false">E179*(1+Assumptions!$B$8)+Assumptions!$B$9</f>
        <v>52571.35</v>
      </c>
      <c r="Q179" s="0" t="n">
        <f aca="false">IF(D179=1,Assumptions!$B$14*33.7,Assumptions!$B$13)</f>
        <v>3.1</v>
      </c>
      <c r="R179" s="0" t="n">
        <f aca="false">(Assumptions!$B$10/I179)*Q179</f>
        <v>1107.14285714286</v>
      </c>
      <c r="S179" s="0" t="n">
        <f aca="false">Assumptions!$B$15+Assumptions!$B$17</f>
        <v>1750</v>
      </c>
      <c r="T179" s="0" t="n">
        <f aca="false">Assumptions!$B$15*(1+Assumptions!$B$16)+Assumptions!$B$17</f>
        <v>1942</v>
      </c>
      <c r="U179" s="0" t="n">
        <f aca="false">IF(OR(C179&gt;Assumptions!$B$11,Assumptions!$B$10*C179&gt;Assumptions!$B$12),1,0)</f>
        <v>0</v>
      </c>
      <c r="V179" s="0" t="n">
        <f aca="false">MAX(0.6,1-Assumptions!$B$22*MAX(0,(Assumptions!$B$10-10000)*C179)/10000)</f>
        <v>1</v>
      </c>
      <c r="W179" s="0" t="n">
        <f aca="false">IF(U179=1,Assumptions!$B$23,MAX(Assumptions!$B$23,E179*POWER(1-O179,C179)*V179))</f>
        <v>18823</v>
      </c>
      <c r="X179" s="0" t="n">
        <f aca="true">SUMPRODUCT((ROW(INDIRECT("1:"&amp;C179))&gt;Assumptions!$B$20)*Assumptions!$B$18*POWER(Assumptions!$B$19,ROW(INDIRECT("1:"&amp;C179))-Assumptions!$B$20-1)*IF(ROW(INDIRECT("1:"&amp;C179))&gt;Assumptions!$B$11,Assumptions!$B$21,1)/POWER(1+Assumptions!$B$2,ROW(INDIRECT("1:"&amp;C179))))</f>
        <v>7070.12417022456</v>
      </c>
      <c r="Y179" s="1" t="n">
        <f aca="false">-PV(Assumptions!$B$2,C179,R179+S179)+X179</f>
        <v>29457.2094996547</v>
      </c>
      <c r="Z179" s="1" t="n">
        <f aca="false">P179+Y179-(W179/POWER(1+Assumptions!$B$2,C179))</f>
        <v>70137.4596623686</v>
      </c>
      <c r="AA179" s="0" t="n">
        <f aca="false">P179*Assumptions!$B$7</f>
        <v>5257.135</v>
      </c>
      <c r="AB179" s="0" t="n">
        <f aca="false">P179-AA179</f>
        <v>47314.215</v>
      </c>
      <c r="AC179" s="1" t="n">
        <f aca="false">PMT(Assumptions!$B$5,Assumptions!$B$6,-AB179)</f>
        <v>936.654951805303</v>
      </c>
      <c r="AD179" s="0" t="n">
        <f aca="false">C179*12</f>
        <v>120</v>
      </c>
      <c r="AE179" s="0" t="n">
        <f aca="false">MIN(Assumptions!$B$6,AD179)</f>
        <v>60</v>
      </c>
      <c r="AF179" s="0" t="n">
        <f aca="false">IF(AD179&gt;=Assumptions!$B$6,0,-PV(Assumptions!$B$5,Assumptions!$B$6-AD179,AC179))</f>
        <v>0</v>
      </c>
      <c r="AG179" s="1" t="n">
        <f aca="false">AA179+(-PV(Assumptions!$B$3,AE179,AC179))+Y179-((W179-AF179)/POWER(1+Assumptions!$B$2,C179))</f>
        <v>72820.5755482833</v>
      </c>
      <c r="AH179" s="0" t="n">
        <f aca="false">H179/12</f>
        <v>3</v>
      </c>
      <c r="AI179" s="0" t="n">
        <f aca="false">MAX(0,Assumptions!$B$10-Assumptions!$B$24)*Assumptions!$B$25</f>
        <v>0</v>
      </c>
      <c r="AJ179" s="1" t="n">
        <f aca="false">F179+Assumptions!$B$27+(-PV(Assumptions!$B$3,H179-1,G179))</f>
        <v>26786.8210777153</v>
      </c>
      <c r="AK179" s="0" t="n">
        <f aca="false">CEILING(C179/AH179,1)</f>
        <v>4</v>
      </c>
      <c r="AL179" s="0" t="n">
        <f aca="false">(1+Assumptions!$B$26)/POWER(1+Assumptions!$B$2,AH179)</f>
        <v>0.906135810905202</v>
      </c>
      <c r="AM179" s="0" t="n">
        <f aca="false">IF(ABS(1-AL179)&lt;0.000000000001,AK179,(1-POWER(AL179,AK179))/(1-AL179))</f>
        <v>3.47122982028551</v>
      </c>
      <c r="AN179" s="0" t="n">
        <f aca="false">1/POWER(1+Assumptions!$B$2,AH179)</f>
        <v>0.871284433562695</v>
      </c>
      <c r="AO179" s="0" t="n">
        <f aca="false">IF(ABS(1-AN179)&lt;0.000000000001,AK179,AN179*(1-POWER(AN179,AK179))/(1-AN179))</f>
        <v>2.86813319209759</v>
      </c>
      <c r="AP179" s="1" t="n">
        <f aca="false">AJ179*AM179+Assumptions!$B$28*AO179+(-PV(Assumptions!$B$2,C179,R179+T179+AI179))</f>
        <v>118021.962856025</v>
      </c>
      <c r="AQ179" s="0" t="n">
        <f aca="false">N179*(1+Assumptions!$B$8)</f>
        <v>29737.6695</v>
      </c>
      <c r="AR179" s="1" t="n">
        <f aca="false">PMT(Assumptions!$B$5,Assumptions!$B$29,-AQ179)</f>
        <v>918.076942515019</v>
      </c>
      <c r="AS179" s="0" t="n">
        <f aca="false">MAX(0,AD179-H179)</f>
        <v>84</v>
      </c>
      <c r="AT179" s="0" t="n">
        <f aca="false">MIN(Assumptions!$B$29,AS179)</f>
        <v>36</v>
      </c>
      <c r="AU179" s="0" t="n">
        <f aca="false">IF(AS179&gt;=Assumptions!$B$29,0,-PV(Assumptions!$B$5,Assumptions!$B$29-AS179,AR179))</f>
        <v>0</v>
      </c>
      <c r="AV179" s="1" t="n">
        <f aca="false">(-PV(Assumptions!$B$3,AT179,AR179))/POWER(1+Assumptions!$B$2,AH179)</f>
        <v>26809.7500832066</v>
      </c>
      <c r="AW179" s="1" t="n">
        <f aca="false">-PV(Assumptions!$B$2,AH179,T179+AI179)</f>
        <v>5318.41766002654</v>
      </c>
      <c r="AX179" s="1" t="n">
        <f aca="false">(-PV(Assumptions!$B$2,C179,S179))-(-PV(Assumptions!$B$2,AH179,S179))</f>
        <v>8919.48888629116</v>
      </c>
      <c r="AY179" s="1" t="n">
        <f aca="false">AJ179+AW179+AX179+(-PV(Assumptions!$B$2,C179,R179))+X179-(W179/POWER(1+Assumptions!$B$2,C179))</f>
        <v>44878.7475221256</v>
      </c>
      <c r="AZ179" s="1" t="n">
        <f aca="false">AY179+AV179+(AU179/POWER(1+Assumptions!$B$2,C179))</f>
        <v>71688.4976053322</v>
      </c>
      <c r="BA179" s="0" t="n">
        <f aca="false">AQ179/POWER(1+Assumptions!$B$2,AH179)</f>
        <v>25909.9685257821</v>
      </c>
      <c r="BB179" s="1" t="n">
        <f aca="false">AY179+BA179</f>
        <v>70788.7160479077</v>
      </c>
      <c r="BC179" s="1" t="n">
        <f aca="false">AJ179+Assumptions!$B$28/POWER(1+Assumptions!$B$2,AH179)+(-PV(Assumptions!$B$2,AH179,R179+T179+AI179))</f>
        <v>35485.8061278511</v>
      </c>
      <c r="BD179" s="1" t="n">
        <f aca="false">MIN(Z179,AG179,AZ179)</f>
        <v>70137.4596623686</v>
      </c>
      <c r="BE179" s="0" t="str">
        <f aca="false">IF(BD179=Z179,"Cash",IF(BD179=AG179,"Loan","Lease then buy out"))</f>
        <v>Cash</v>
      </c>
    </row>
    <row r="180" customFormat="false" ht="15" hidden="false" customHeight="false" outlineLevel="0" collapsed="false">
      <c r="A180" s="0" t="s">
        <v>86</v>
      </c>
      <c r="B180" s="0" t="s">
        <v>87</v>
      </c>
      <c r="C180" s="0" t="n">
        <v>10</v>
      </c>
      <c r="D180" s="0" t="n">
        <v>0</v>
      </c>
      <c r="E180" s="0" t="n">
        <v>44350</v>
      </c>
      <c r="F180" s="0" t="n">
        <v>5999</v>
      </c>
      <c r="G180" s="0" t="n">
        <v>459</v>
      </c>
      <c r="H180" s="0" t="n">
        <v>36</v>
      </c>
      <c r="I180" s="0" t="n">
        <v>23</v>
      </c>
      <c r="J180" s="0" t="n">
        <v>12298</v>
      </c>
      <c r="K180" s="0" t="s">
        <v>35</v>
      </c>
      <c r="L180" s="0" t="n">
        <v>155.9</v>
      </c>
      <c r="M180" s="0" t="n">
        <f aca="false">MAX(Assumptions!$B$33,Assumptions!$B$30-Assumptions!$B$31*(H180-36)-IF(D180=1,Assumptions!$B$32,0))</f>
        <v>0.57</v>
      </c>
      <c r="N180" s="0" t="n">
        <f aca="false">E180*M180</f>
        <v>25279.5</v>
      </c>
      <c r="O180" s="0" t="n">
        <f aca="false">1-POWER(J180/E180,0.1)</f>
        <v>0.120382043504781</v>
      </c>
      <c r="P180" s="0" t="n">
        <f aca="false">E180*(1+Assumptions!$B$8)+Assumptions!$B$9</f>
        <v>46967.5</v>
      </c>
      <c r="Q180" s="0" t="n">
        <f aca="false">IF(D180=1,Assumptions!$B$14*33.7,Assumptions!$B$13)</f>
        <v>3.1</v>
      </c>
      <c r="R180" s="0" t="n">
        <f aca="false">(Assumptions!$B$10/I180)*Q180</f>
        <v>1347.82608695652</v>
      </c>
      <c r="S180" s="0" t="n">
        <f aca="false">Assumptions!$B$15+Assumptions!$B$17</f>
        <v>1750</v>
      </c>
      <c r="T180" s="0" t="n">
        <f aca="false">Assumptions!$B$15*(1+Assumptions!$B$16)+Assumptions!$B$17</f>
        <v>1942</v>
      </c>
      <c r="U180" s="0" t="n">
        <f aca="false">IF(OR(C180&gt;Assumptions!$B$11,Assumptions!$B$10*C180&gt;Assumptions!$B$12),1,0)</f>
        <v>0</v>
      </c>
      <c r="V180" s="0" t="n">
        <f aca="false">MAX(0.6,1-Assumptions!$B$22*MAX(0,(Assumptions!$B$10-10000)*C180)/10000)</f>
        <v>1</v>
      </c>
      <c r="W180" s="0" t="n">
        <f aca="false">IF(U180=1,Assumptions!$B$23,MAX(Assumptions!$B$23,E180*POWER(1-O180,C180)*V180))</f>
        <v>12298</v>
      </c>
      <c r="X180" s="0" t="n">
        <f aca="true">SUMPRODUCT((ROW(INDIRECT("1:"&amp;C180))&gt;Assumptions!$B$20)*Assumptions!$B$18*POWER(Assumptions!$B$19,ROW(INDIRECT("1:"&amp;C180))-Assumptions!$B$20-1)*IF(ROW(INDIRECT("1:"&amp;C180))&gt;Assumptions!$B$11,Assumptions!$B$21,1)/POWER(1+Assumptions!$B$2,ROW(INDIRECT("1:"&amp;C180))))</f>
        <v>7070.12417022456</v>
      </c>
      <c r="Y180" s="1" t="n">
        <f aca="false">-PV(Assumptions!$B$2,C180,R180+S180)+X180</f>
        <v>31343.0781007752</v>
      </c>
      <c r="Z180" s="1" t="n">
        <f aca="false">P180+Y180-(W180/POWER(1+Assumptions!$B$2,C180))</f>
        <v>70541.5324757981</v>
      </c>
      <c r="AA180" s="0" t="n">
        <f aca="false">P180*Assumptions!$B$7</f>
        <v>4696.75</v>
      </c>
      <c r="AB180" s="0" t="n">
        <f aca="false">P180-AA180</f>
        <v>42270.75</v>
      </c>
      <c r="AC180" s="1" t="n">
        <f aca="false">PMT(Assumptions!$B$5,Assumptions!$B$6,-AB180)</f>
        <v>836.812093448534</v>
      </c>
      <c r="AD180" s="0" t="n">
        <f aca="false">C180*12</f>
        <v>120</v>
      </c>
      <c r="AE180" s="0" t="n">
        <f aca="false">MIN(Assumptions!$B$6,AD180)</f>
        <v>60</v>
      </c>
      <c r="AF180" s="0" t="n">
        <f aca="false">IF(AD180&gt;=Assumptions!$B$6,0,-PV(Assumptions!$B$5,Assumptions!$B$6-AD180,AC180))</f>
        <v>0</v>
      </c>
      <c r="AG180" s="1" t="n">
        <f aca="false">AA180+(-PV(Assumptions!$B$3,AE180,AC180))+Y180-((W180-AF180)/POWER(1+Assumptions!$B$2,C180))</f>
        <v>72938.6412693082</v>
      </c>
      <c r="AH180" s="0" t="n">
        <f aca="false">H180/12</f>
        <v>3</v>
      </c>
      <c r="AI180" s="0" t="n">
        <f aca="false">MAX(0,Assumptions!$B$10-Assumptions!$B$24)*Assumptions!$B$25</f>
        <v>0</v>
      </c>
      <c r="AJ180" s="1" t="n">
        <f aca="false">F180+Assumptions!$B$27+(-PV(Assumptions!$B$3,H180-1,G180))</f>
        <v>21684.1524603014</v>
      </c>
      <c r="AK180" s="0" t="n">
        <f aca="false">CEILING(C180/AH180,1)</f>
        <v>4</v>
      </c>
      <c r="AL180" s="0" t="n">
        <f aca="false">(1+Assumptions!$B$26)/POWER(1+Assumptions!$B$2,AH180)</f>
        <v>0.906135810905202</v>
      </c>
      <c r="AM180" s="0" t="n">
        <f aca="false">IF(ABS(1-AL180)&lt;0.000000000001,AK180,(1-POWER(AL180,AK180))/(1-AL180))</f>
        <v>3.47122982028551</v>
      </c>
      <c r="AN180" s="0" t="n">
        <f aca="false">1/POWER(1+Assumptions!$B$2,AH180)</f>
        <v>0.871284433562695</v>
      </c>
      <c r="AO180" s="0" t="n">
        <f aca="false">IF(ABS(1-AN180)&lt;0.000000000001,AK180,AN180*(1-POWER(AN180,AK180))/(1-AN180))</f>
        <v>2.86813319209759</v>
      </c>
      <c r="AP180" s="1" t="n">
        <f aca="false">AJ180*AM180+Assumptions!$B$28*AO180+(-PV(Assumptions!$B$2,C180,R180+T180+AI180))</f>
        <v>102195.295989343</v>
      </c>
      <c r="AQ180" s="0" t="n">
        <f aca="false">N180*(1+Assumptions!$B$8)</f>
        <v>26543.475</v>
      </c>
      <c r="AR180" s="1" t="n">
        <f aca="false">PMT(Assumptions!$B$5,Assumptions!$B$29,-AQ180)</f>
        <v>819.46409323447</v>
      </c>
      <c r="AS180" s="0" t="n">
        <f aca="false">MAX(0,AD180-H180)</f>
        <v>84</v>
      </c>
      <c r="AT180" s="0" t="n">
        <f aca="false">MIN(Assumptions!$B$29,AS180)</f>
        <v>36</v>
      </c>
      <c r="AU180" s="0" t="n">
        <f aca="false">IF(AS180&gt;=Assumptions!$B$29,0,-PV(Assumptions!$B$5,Assumptions!$B$29-AS180,AR180))</f>
        <v>0</v>
      </c>
      <c r="AV180" s="1" t="n">
        <f aca="false">(-PV(Assumptions!$B$3,AT180,AR180))/POWER(1+Assumptions!$B$2,AH180)</f>
        <v>23930.0504395559</v>
      </c>
      <c r="AW180" s="1" t="n">
        <f aca="false">-PV(Assumptions!$B$2,AH180,T180+AI180)</f>
        <v>5318.41766002654</v>
      </c>
      <c r="AX180" s="1" t="n">
        <f aca="false">(-PV(Assumptions!$B$2,C180,S180))-(-PV(Assumptions!$B$2,AH180,S180))</f>
        <v>8919.48888629116</v>
      </c>
      <c r="AY180" s="1" t="n">
        <f aca="false">AJ180+AW180+AX180+(-PV(Assumptions!$B$2,C180,R180))+X180-(W180/POWER(1+Assumptions!$B$2,C180))</f>
        <v>45784.0017181412</v>
      </c>
      <c r="AZ180" s="1" t="n">
        <f aca="false">AY180+AV180+(AU180/POWER(1+Assumptions!$B$2,C180))</f>
        <v>69714.0521576971</v>
      </c>
      <c r="BA180" s="0" t="n">
        <f aca="false">AQ180/POWER(1+Assumptions!$B$2,AH180)</f>
        <v>23126.9165801605</v>
      </c>
      <c r="BB180" s="1" t="n">
        <f aca="false">AY180+BA180</f>
        <v>68910.9182983018</v>
      </c>
      <c r="BC180" s="1" t="n">
        <f aca="false">AJ180+Assumptions!$B$28/POWER(1+Assumptions!$B$2,AH180)+(-PV(Assumptions!$B$2,AH180,R180+T180+AI180))</f>
        <v>31042.2796010208</v>
      </c>
      <c r="BD180" s="1" t="n">
        <f aca="false">MIN(Z180,AG180,AZ180)</f>
        <v>69714.0521576971</v>
      </c>
      <c r="BE180" s="0" t="str">
        <f aca="false">IF(BD180=Z180,"Cash",IF(BD180=AG180,"Loan","Lease then buy out"))</f>
        <v>Lease then buy out</v>
      </c>
    </row>
    <row r="181" customFormat="false" ht="15" hidden="false" customHeight="false" outlineLevel="0" collapsed="false">
      <c r="A181" s="0" t="s">
        <v>86</v>
      </c>
      <c r="B181" s="0" t="s">
        <v>88</v>
      </c>
      <c r="C181" s="0" t="n">
        <v>10</v>
      </c>
      <c r="D181" s="0" t="n">
        <v>0</v>
      </c>
      <c r="E181" s="0" t="n">
        <v>50150</v>
      </c>
      <c r="F181" s="0" t="n">
        <v>5999</v>
      </c>
      <c r="G181" s="0" t="n">
        <v>589</v>
      </c>
      <c r="H181" s="0" t="n">
        <v>36</v>
      </c>
      <c r="I181" s="0" t="n">
        <v>22</v>
      </c>
      <c r="J181" s="0" t="n">
        <v>17669</v>
      </c>
      <c r="K181" s="0" t="s">
        <v>35</v>
      </c>
      <c r="L181" s="0" t="n">
        <v>181.3</v>
      </c>
      <c r="M181" s="0" t="n">
        <f aca="false">MAX(Assumptions!$B$33,Assumptions!$B$30-Assumptions!$B$31*(H181-36)-IF(D181=1,Assumptions!$B$32,0))</f>
        <v>0.57</v>
      </c>
      <c r="N181" s="0" t="n">
        <f aca="false">E181*M181</f>
        <v>28585.5</v>
      </c>
      <c r="O181" s="0" t="n">
        <f aca="false">1-POWER(J181/E181,0.1)</f>
        <v>0.0990636632248162</v>
      </c>
      <c r="P181" s="0" t="n">
        <f aca="false">E181*(1+Assumptions!$B$8)+Assumptions!$B$9</f>
        <v>53057.5</v>
      </c>
      <c r="Q181" s="0" t="n">
        <f aca="false">IF(D181=1,Assumptions!$B$14*33.7,Assumptions!$B$13)</f>
        <v>3.1</v>
      </c>
      <c r="R181" s="0" t="n">
        <f aca="false">(Assumptions!$B$10/I181)*Q181</f>
        <v>1409.09090909091</v>
      </c>
      <c r="S181" s="0" t="n">
        <f aca="false">Assumptions!$B$15+Assumptions!$B$17</f>
        <v>1750</v>
      </c>
      <c r="T181" s="0" t="n">
        <f aca="false">Assumptions!$B$15*(1+Assumptions!$B$16)+Assumptions!$B$17</f>
        <v>1942</v>
      </c>
      <c r="U181" s="0" t="n">
        <f aca="false">IF(OR(C181&gt;Assumptions!$B$11,Assumptions!$B$10*C181&gt;Assumptions!$B$12),1,0)</f>
        <v>0</v>
      </c>
      <c r="V181" s="0" t="n">
        <f aca="false">MAX(0.6,1-Assumptions!$B$22*MAX(0,(Assumptions!$B$10-10000)*C181)/10000)</f>
        <v>1</v>
      </c>
      <c r="W181" s="0" t="n">
        <f aca="false">IF(U181=1,Assumptions!$B$23,MAX(Assumptions!$B$23,E181*POWER(1-O181,C181)*V181))</f>
        <v>17669</v>
      </c>
      <c r="X181" s="0" t="n">
        <f aca="true">SUMPRODUCT((ROW(INDIRECT("1:"&amp;C181))&gt;Assumptions!$B$20)*Assumptions!$B$18*POWER(Assumptions!$B$19,ROW(INDIRECT("1:"&amp;C181))-Assumptions!$B$20-1)*IF(ROW(INDIRECT("1:"&amp;C181))&gt;Assumptions!$B$11,Assumptions!$B$21,1)/POWER(1+Assumptions!$B$2,ROW(INDIRECT("1:"&amp;C181))))</f>
        <v>7070.12417022456</v>
      </c>
      <c r="Y181" s="1" t="n">
        <f aca="false">-PV(Assumptions!$B$2,C181,R181+S181)+X181</f>
        <v>31823.1173810604</v>
      </c>
      <c r="Z181" s="1" t="n">
        <f aca="false">P181+Y181-(W181/POWER(1+Assumptions!$B$2,C181))</f>
        <v>73718.5367868401</v>
      </c>
      <c r="AA181" s="0" t="n">
        <f aca="false">P181*Assumptions!$B$7</f>
        <v>5305.75</v>
      </c>
      <c r="AB181" s="0" t="n">
        <f aca="false">P181-AA181</f>
        <v>47751.75</v>
      </c>
      <c r="AC181" s="1" t="n">
        <f aca="false">PMT(Assumptions!$B$5,Assumptions!$B$6,-AB181)</f>
        <v>945.316605059788</v>
      </c>
      <c r="AD181" s="0" t="n">
        <f aca="false">C181*12</f>
        <v>120</v>
      </c>
      <c r="AE181" s="0" t="n">
        <f aca="false">MIN(Assumptions!$B$6,AD181)</f>
        <v>60</v>
      </c>
      <c r="AF181" s="0" t="n">
        <f aca="false">IF(AD181&gt;=Assumptions!$B$6,0,-PV(Assumptions!$B$5,Assumptions!$B$6-AD181,AC181))</f>
        <v>0</v>
      </c>
      <c r="AG181" s="1" t="n">
        <f aca="false">AA181+(-PV(Assumptions!$B$3,AE181,AC181))+Y181-((W181-AF181)/POWER(1+Assumptions!$B$2,C181))</f>
        <v>76426.4646052606</v>
      </c>
      <c r="AH181" s="0" t="n">
        <f aca="false">H181/12</f>
        <v>3</v>
      </c>
      <c r="AI181" s="0" t="n">
        <f aca="false">MAX(0,Assumptions!$B$10-Assumptions!$B$24)*Assumptions!$B$25</f>
        <v>0</v>
      </c>
      <c r="AJ181" s="1" t="n">
        <f aca="false">F181+Assumptions!$B$27+(-PV(Assumptions!$B$3,H181-1,G181))</f>
        <v>25928.3132878378</v>
      </c>
      <c r="AK181" s="0" t="n">
        <f aca="false">CEILING(C181/AH181,1)</f>
        <v>4</v>
      </c>
      <c r="AL181" s="0" t="n">
        <f aca="false">(1+Assumptions!$B$26)/POWER(1+Assumptions!$B$2,AH181)</f>
        <v>0.906135810905202</v>
      </c>
      <c r="AM181" s="0" t="n">
        <f aca="false">IF(ABS(1-AL181)&lt;0.000000000001,AK181,(1-POWER(AL181,AK181))/(1-AL181))</f>
        <v>3.47122982028551</v>
      </c>
      <c r="AN181" s="0" t="n">
        <f aca="false">1/POWER(1+Assumptions!$B$2,AH181)</f>
        <v>0.871284433562695</v>
      </c>
      <c r="AO181" s="0" t="n">
        <f aca="false">IF(ABS(1-AN181)&lt;0.000000000001,AK181,AN181*(1-POWER(AN181,AK181))/(1-AN181))</f>
        <v>2.86813319209759</v>
      </c>
      <c r="AP181" s="1" t="n">
        <f aca="false">AJ181*AM181+Assumptions!$B$28*AO181+(-PV(Assumptions!$B$2,C181,R181+T181+AI181))</f>
        <v>117407.79289626</v>
      </c>
      <c r="AQ181" s="0" t="n">
        <f aca="false">N181*(1+Assumptions!$B$8)</f>
        <v>30014.775</v>
      </c>
      <c r="AR181" s="1" t="n">
        <f aca="false">PMT(Assumptions!$B$5,Assumptions!$B$29,-AQ181)</f>
        <v>926.631888967501</v>
      </c>
      <c r="AS181" s="0" t="n">
        <f aca="false">MAX(0,AD181-H181)</f>
        <v>84</v>
      </c>
      <c r="AT181" s="0" t="n">
        <f aca="false">MIN(Assumptions!$B$29,AS181)</f>
        <v>36</v>
      </c>
      <c r="AU181" s="0" t="n">
        <f aca="false">IF(AS181&gt;=Assumptions!$B$29,0,-PV(Assumptions!$B$5,Assumptions!$B$29-AS181,AR181))</f>
        <v>0</v>
      </c>
      <c r="AV181" s="1" t="n">
        <f aca="false">(-PV(Assumptions!$B$3,AT181,AR181))/POWER(1+Assumptions!$B$2,AH181)</f>
        <v>27059.5722557774</v>
      </c>
      <c r="AW181" s="1" t="n">
        <f aca="false">-PV(Assumptions!$B$2,AH181,T181+AI181)</f>
        <v>5318.41766002654</v>
      </c>
      <c r="AX181" s="1" t="n">
        <f aca="false">(-PV(Assumptions!$B$2,C181,S181))-(-PV(Assumptions!$B$2,AH181,S181))</f>
        <v>8919.48888629116</v>
      </c>
      <c r="AY181" s="1" t="n">
        <f aca="false">AJ181+AW181+AX181+(-PV(Assumptions!$B$2,C181,R181))+X181-(W181/POWER(1+Assumptions!$B$2,C181))</f>
        <v>47115.1668567197</v>
      </c>
      <c r="AZ181" s="1" t="n">
        <f aca="false">AY181+AV181+(AU181/POWER(1+Assumptions!$B$2,C181))</f>
        <v>74174.7391124971</v>
      </c>
      <c r="BA181" s="0" t="n">
        <f aca="false">AQ181/POWER(1+Assumptions!$B$2,AH181)</f>
        <v>26151.4062343867</v>
      </c>
      <c r="BB181" s="1" t="n">
        <f aca="false">AY181+BA181</f>
        <v>73266.5730911064</v>
      </c>
      <c r="BC181" s="1" t="n">
        <f aca="false">AJ181+Assumptions!$B$28/POWER(1+Assumptions!$B$2,AH181)+(-PV(Assumptions!$B$2,AH181,R181+T181+AI181))</f>
        <v>35454.2220516148</v>
      </c>
      <c r="BD181" s="1" t="n">
        <f aca="false">MIN(Z181,AG181,AZ181)</f>
        <v>73718.5367868401</v>
      </c>
      <c r="BE181" s="0" t="str">
        <f aca="false">IF(BD181=Z181,"Cash",IF(BD181=AG181,"Loan","Lease then buy out"))</f>
        <v>Cash</v>
      </c>
    </row>
    <row r="182" customFormat="false" ht="15" hidden="false" customHeight="false" outlineLevel="0" collapsed="false">
      <c r="A182" s="0" t="s">
        <v>89</v>
      </c>
      <c r="B182" s="0" t="s">
        <v>90</v>
      </c>
      <c r="C182" s="0" t="n">
        <v>10</v>
      </c>
      <c r="D182" s="0" t="n">
        <v>0</v>
      </c>
      <c r="E182" s="0" t="n">
        <v>45150</v>
      </c>
      <c r="F182" s="0" t="n">
        <v>4999</v>
      </c>
      <c r="G182" s="0" t="n">
        <v>579</v>
      </c>
      <c r="H182" s="0" t="n">
        <v>36</v>
      </c>
      <c r="I182" s="0" t="n">
        <v>24</v>
      </c>
      <c r="J182" s="0" t="n">
        <v>11614</v>
      </c>
      <c r="K182" s="0" t="s">
        <v>35</v>
      </c>
      <c r="L182" s="0" t="n">
        <v>153.9</v>
      </c>
      <c r="M182" s="0" t="n">
        <f aca="false">MAX(Assumptions!$B$33,Assumptions!$B$30-Assumptions!$B$31*(H182-36)-IF(D182=1,Assumptions!$B$32,0))</f>
        <v>0.57</v>
      </c>
      <c r="N182" s="0" t="n">
        <f aca="false">E182*M182</f>
        <v>25735.5</v>
      </c>
      <c r="O182" s="0" t="n">
        <f aca="false">1-POWER(J182/E182,0.1)</f>
        <v>0.126963488760405</v>
      </c>
      <c r="P182" s="0" t="n">
        <f aca="false">E182*(1+Assumptions!$B$8)+Assumptions!$B$9</f>
        <v>47807.5</v>
      </c>
      <c r="Q182" s="0" t="n">
        <f aca="false">IF(D182=1,Assumptions!$B$14*33.7,Assumptions!$B$13)</f>
        <v>3.1</v>
      </c>
      <c r="R182" s="0" t="n">
        <f aca="false">(Assumptions!$B$10/I182)*Q182</f>
        <v>1291.66666666667</v>
      </c>
      <c r="S182" s="0" t="n">
        <f aca="false">Assumptions!$B$15+Assumptions!$B$17</f>
        <v>1750</v>
      </c>
      <c r="T182" s="0" t="n">
        <f aca="false">Assumptions!$B$15*(1+Assumptions!$B$16)+Assumptions!$B$17</f>
        <v>1942</v>
      </c>
      <c r="U182" s="0" t="n">
        <f aca="false">IF(OR(C182&gt;Assumptions!$B$11,Assumptions!$B$10*C182&gt;Assumptions!$B$12),1,0)</f>
        <v>0</v>
      </c>
      <c r="V182" s="0" t="n">
        <f aca="false">MAX(0.6,1-Assumptions!$B$22*MAX(0,(Assumptions!$B$10-10000)*C182)/10000)</f>
        <v>1</v>
      </c>
      <c r="W182" s="0" t="n">
        <f aca="false">IF(U182=1,Assumptions!$B$23,MAX(Assumptions!$B$23,E182*POWER(1-O182,C182)*V182))</f>
        <v>11614</v>
      </c>
      <c r="X182" s="0" t="n">
        <f aca="true">SUMPRODUCT((ROW(INDIRECT("1:"&amp;C182))&gt;Assumptions!$B$20)*Assumptions!$B$18*POWER(Assumptions!$B$19,ROW(INDIRECT("1:"&amp;C182))-Assumptions!$B$20-1)*IF(ROW(INDIRECT("1:"&amp;C182))&gt;Assumptions!$B$11,Assumptions!$B$21,1)/POWER(1+Assumptions!$B$2,ROW(INDIRECT("1:"&amp;C182))))</f>
        <v>7070.12417022456</v>
      </c>
      <c r="Y182" s="1" t="n">
        <f aca="false">-PV(Assumptions!$B$2,C182,R182+S182)+X182</f>
        <v>30903.042093847</v>
      </c>
      <c r="Z182" s="1" t="n">
        <f aca="false">P182+Y182-(W182/POWER(1+Assumptions!$B$2,C182))</f>
        <v>71373.6014621603</v>
      </c>
      <c r="AA182" s="0" t="n">
        <f aca="false">P182*Assumptions!$B$7</f>
        <v>4780.75</v>
      </c>
      <c r="AB182" s="0" t="n">
        <f aca="false">P182-AA182</f>
        <v>43026.75</v>
      </c>
      <c r="AC182" s="1" t="n">
        <f aca="false">PMT(Assumptions!$B$5,Assumptions!$B$6,-AB182)</f>
        <v>851.778232981121</v>
      </c>
      <c r="AD182" s="0" t="n">
        <f aca="false">C182*12</f>
        <v>120</v>
      </c>
      <c r="AE182" s="0" t="n">
        <f aca="false">MIN(Assumptions!$B$6,AD182)</f>
        <v>60</v>
      </c>
      <c r="AF182" s="0" t="n">
        <f aca="false">IF(AD182&gt;=Assumptions!$B$6,0,-PV(Assumptions!$B$5,Assumptions!$B$6-AD182,AC182))</f>
        <v>0</v>
      </c>
      <c r="AG182" s="1" t="n">
        <f aca="false">AA182+(-PV(Assumptions!$B$3,AE182,AC182))+Y182-((W182-AF182)/POWER(1+Assumptions!$B$2,C182))</f>
        <v>73813.5818453132</v>
      </c>
      <c r="AH182" s="0" t="n">
        <f aca="false">H182/12</f>
        <v>3</v>
      </c>
      <c r="AI182" s="0" t="n">
        <f aca="false">MAX(0,Assumptions!$B$10-Assumptions!$B$24)*Assumptions!$B$25</f>
        <v>0</v>
      </c>
      <c r="AJ182" s="1" t="n">
        <f aca="false">F182+Assumptions!$B$27+(-PV(Assumptions!$B$3,H182-1,G182))</f>
        <v>24601.8393780273</v>
      </c>
      <c r="AK182" s="0" t="n">
        <f aca="false">CEILING(C182/AH182,1)</f>
        <v>4</v>
      </c>
      <c r="AL182" s="0" t="n">
        <f aca="false">(1+Assumptions!$B$26)/POWER(1+Assumptions!$B$2,AH182)</f>
        <v>0.906135810905202</v>
      </c>
      <c r="AM182" s="0" t="n">
        <f aca="false">IF(ABS(1-AL182)&lt;0.000000000001,AK182,(1-POWER(AL182,AK182))/(1-AL182))</f>
        <v>3.47122982028551</v>
      </c>
      <c r="AN182" s="0" t="n">
        <f aca="false">1/POWER(1+Assumptions!$B$2,AH182)</f>
        <v>0.871284433562695</v>
      </c>
      <c r="AO182" s="0" t="n">
        <f aca="false">IF(ABS(1-AN182)&lt;0.000000000001,AK182,AN182*(1-POWER(AN182,AK182))/(1-AN182))</f>
        <v>2.86813319209759</v>
      </c>
      <c r="AP182" s="1" t="n">
        <f aca="false">AJ182*AM182+Assumptions!$B$28*AO182+(-PV(Assumptions!$B$2,C182,R182+T182+AI182))</f>
        <v>111883.221817482</v>
      </c>
      <c r="AQ182" s="0" t="n">
        <f aca="false">N182*(1+Assumptions!$B$8)</f>
        <v>27022.275</v>
      </c>
      <c r="AR182" s="1" t="n">
        <f aca="false">PMT(Assumptions!$B$5,Assumptions!$B$29,-AQ182)</f>
        <v>834.245858163164</v>
      </c>
      <c r="AS182" s="0" t="n">
        <f aca="false">MAX(0,AD182-H182)</f>
        <v>84</v>
      </c>
      <c r="AT182" s="0" t="n">
        <f aca="false">MIN(Assumptions!$B$29,AS182)</f>
        <v>36</v>
      </c>
      <c r="AU182" s="0" t="n">
        <f aca="false">IF(AS182&gt;=Assumptions!$B$29,0,-PV(Assumptions!$B$5,Assumptions!$B$29-AS182,AR182))</f>
        <v>0</v>
      </c>
      <c r="AV182" s="1" t="n">
        <f aca="false">(-PV(Assumptions!$B$3,AT182,AR182))/POWER(1+Assumptions!$B$2,AH182)</f>
        <v>24361.7086211037</v>
      </c>
      <c r="AW182" s="1" t="n">
        <f aca="false">-PV(Assumptions!$B$2,AH182,T182+AI182)</f>
        <v>5318.41766002654</v>
      </c>
      <c r="AX182" s="1" t="n">
        <f aca="false">(-PV(Assumptions!$B$2,C182,S182))-(-PV(Assumptions!$B$2,AH182,S182))</f>
        <v>8919.48888629116</v>
      </c>
      <c r="AY182" s="1" t="n">
        <f aca="false">AJ182+AW182+AX182+(-PV(Assumptions!$B$2,C182,R182))+X182-(W182/POWER(1+Assumptions!$B$2,C182))</f>
        <v>48693.7576222293</v>
      </c>
      <c r="AZ182" s="1" t="n">
        <f aca="false">AY182+AV182+(AU182/POWER(1+Assumptions!$B$2,C182))</f>
        <v>73055.466243333</v>
      </c>
      <c r="BA182" s="0" t="n">
        <f aca="false">AQ182/POWER(1+Assumptions!$B$2,AH182)</f>
        <v>23544.0875669504</v>
      </c>
      <c r="BB182" s="1" t="n">
        <f aca="false">AY182+BA182</f>
        <v>72237.8451891797</v>
      </c>
      <c r="BC182" s="1" t="n">
        <f aca="false">AJ182+Assumptions!$B$28/POWER(1+Assumptions!$B$2,AH182)+(-PV(Assumptions!$B$2,AH182,R182+T182+AI182))</f>
        <v>33806.1666976105</v>
      </c>
      <c r="BD182" s="1" t="n">
        <f aca="false">MIN(Z182,AG182,AZ182)</f>
        <v>71373.6014621603</v>
      </c>
      <c r="BE182" s="0" t="str">
        <f aca="false">IF(BD182=Z182,"Cash",IF(BD182=AG182,"Loan","Lease then buy out"))</f>
        <v>Cash</v>
      </c>
    </row>
    <row r="183" customFormat="false" ht="15" hidden="false" customHeight="false" outlineLevel="0" collapsed="false">
      <c r="A183" s="0" t="s">
        <v>58</v>
      </c>
      <c r="B183" s="0" t="s">
        <v>91</v>
      </c>
      <c r="C183" s="0" t="n">
        <v>10</v>
      </c>
      <c r="D183" s="0" t="n">
        <v>0</v>
      </c>
      <c r="E183" s="0" t="n">
        <v>50244</v>
      </c>
      <c r="F183" s="0" t="n">
        <v>3045</v>
      </c>
      <c r="G183" s="0" t="n">
        <v>545</v>
      </c>
      <c r="H183" s="0" t="n">
        <v>36</v>
      </c>
      <c r="I183" s="0" t="n">
        <v>17</v>
      </c>
      <c r="J183" s="0" t="n">
        <v>21917</v>
      </c>
      <c r="K183" s="0" t="s">
        <v>35</v>
      </c>
      <c r="L183" s="0" t="n">
        <v>186.7</v>
      </c>
      <c r="M183" s="0" t="n">
        <f aca="false">MAX(Assumptions!$B$33,Assumptions!$B$30-Assumptions!$B$31*(H183-36)-IF(D183=1,Assumptions!$B$32,0))</f>
        <v>0.57</v>
      </c>
      <c r="N183" s="0" t="n">
        <f aca="false">E183*M183</f>
        <v>28639.08</v>
      </c>
      <c r="O183" s="0" t="n">
        <f aca="false">1-POWER(J183/E183,0.1)</f>
        <v>0.0796146652805391</v>
      </c>
      <c r="P183" s="0" t="n">
        <f aca="false">E183*(1+Assumptions!$B$8)+Assumptions!$B$9</f>
        <v>53156.2</v>
      </c>
      <c r="Q183" s="0" t="n">
        <f aca="false">IF(D183=1,Assumptions!$B$14*33.7,Assumptions!$B$13)</f>
        <v>3.1</v>
      </c>
      <c r="R183" s="0" t="n">
        <f aca="false">(Assumptions!$B$10/I183)*Q183</f>
        <v>1823.52941176471</v>
      </c>
      <c r="S183" s="0" t="n">
        <f aca="false">Assumptions!$B$15+Assumptions!$B$17</f>
        <v>1750</v>
      </c>
      <c r="T183" s="0" t="n">
        <f aca="false">Assumptions!$B$15*(1+Assumptions!$B$16)+Assumptions!$B$17</f>
        <v>1942</v>
      </c>
      <c r="U183" s="0" t="n">
        <f aca="false">IF(OR(C183&gt;Assumptions!$B$11,Assumptions!$B$10*C183&gt;Assumptions!$B$12),1,0)</f>
        <v>0</v>
      </c>
      <c r="V183" s="0" t="n">
        <f aca="false">MAX(0.6,1-Assumptions!$B$22*MAX(0,(Assumptions!$B$10-10000)*C183)/10000)</f>
        <v>1</v>
      </c>
      <c r="W183" s="0" t="n">
        <f aca="false">IF(U183=1,Assumptions!$B$23,MAX(Assumptions!$B$23,E183*POWER(1-O183,C183)*V183))</f>
        <v>21917</v>
      </c>
      <c r="X183" s="0" t="n">
        <f aca="true">SUMPRODUCT((ROW(INDIRECT("1:"&amp;C183))&gt;Assumptions!$B$20)*Assumptions!$B$18*POWER(Assumptions!$B$19,ROW(INDIRECT("1:"&amp;C183))-Assumptions!$B$20-1)*IF(ROW(INDIRECT("1:"&amp;C183))&gt;Assumptions!$B$11,Assumptions!$B$21,1)/POWER(1+Assumptions!$B$2,ROW(INDIRECT("1:"&amp;C183))))</f>
        <v>7070.12417022456</v>
      </c>
      <c r="Y183" s="1" t="n">
        <f aca="false">-PV(Assumptions!$B$2,C183,R183+S183)+X183</f>
        <v>35070.4419241662</v>
      </c>
      <c r="Z183" s="1" t="n">
        <f aca="false">P183+Y183-(W183/POWER(1+Assumptions!$B$2,C183))</f>
        <v>74380.9618979324</v>
      </c>
      <c r="AA183" s="0" t="n">
        <f aca="false">P183*Assumptions!$B$7</f>
        <v>5315.62</v>
      </c>
      <c r="AB183" s="0" t="n">
        <f aca="false">P183-AA183</f>
        <v>47840.58</v>
      </c>
      <c r="AC183" s="1" t="n">
        <f aca="false">PMT(Assumptions!$B$5,Assumptions!$B$6,-AB183)</f>
        <v>947.075126454867</v>
      </c>
      <c r="AD183" s="0" t="n">
        <f aca="false">C183*12</f>
        <v>120</v>
      </c>
      <c r="AE183" s="0" t="n">
        <f aca="false">MIN(Assumptions!$B$6,AD183)</f>
        <v>60</v>
      </c>
      <c r="AF183" s="0" t="n">
        <f aca="false">IF(AD183&gt;=Assumptions!$B$6,0,-PV(Assumptions!$B$5,Assumptions!$B$6-AD183,AC183))</f>
        <v>0</v>
      </c>
      <c r="AG183" s="1" t="n">
        <f aca="false">AA183+(-PV(Assumptions!$B$3,AE183,AC183))+Y183-((W183-AF183)/POWER(1+Assumptions!$B$2,C183))</f>
        <v>77093.9271281359</v>
      </c>
      <c r="AH183" s="0" t="n">
        <f aca="false">H183/12</f>
        <v>3</v>
      </c>
      <c r="AI183" s="0" t="n">
        <f aca="false">MAX(0,Assumptions!$B$10-Assumptions!$B$24)*Assumptions!$B$25</f>
        <v>0</v>
      </c>
      <c r="AJ183" s="1" t="n">
        <f aca="false">F183+Assumptions!$B$27+(-PV(Assumptions!$B$3,H183-1,G183))</f>
        <v>21537.8280846716</v>
      </c>
      <c r="AK183" s="0" t="n">
        <f aca="false">CEILING(C183/AH183,1)</f>
        <v>4</v>
      </c>
      <c r="AL183" s="0" t="n">
        <f aca="false">(1+Assumptions!$B$26)/POWER(1+Assumptions!$B$2,AH183)</f>
        <v>0.906135810905202</v>
      </c>
      <c r="AM183" s="0" t="n">
        <f aca="false">IF(ABS(1-AL183)&lt;0.000000000001,AK183,(1-POWER(AL183,AK183))/(1-AL183))</f>
        <v>3.47122982028551</v>
      </c>
      <c r="AN183" s="0" t="n">
        <f aca="false">1/POWER(1+Assumptions!$B$2,AH183)</f>
        <v>0.871284433562695</v>
      </c>
      <c r="AO183" s="0" t="n">
        <f aca="false">IF(ABS(1-AN183)&lt;0.000000000001,AK183,AN183*(1-POWER(AN183,AK183))/(1-AN183))</f>
        <v>2.86813319209759</v>
      </c>
      <c r="AP183" s="1" t="n">
        <f aca="false">AJ183*AM183+Assumptions!$B$28*AO183+(-PV(Assumptions!$B$2,C183,R183+T183+AI183))</f>
        <v>105414.734276613</v>
      </c>
      <c r="AQ183" s="0" t="n">
        <f aca="false">N183*(1+Assumptions!$B$8)</f>
        <v>30071.034</v>
      </c>
      <c r="AR183" s="1" t="n">
        <f aca="false">PMT(Assumptions!$B$5,Assumptions!$B$29,-AQ183)</f>
        <v>928.368746346622</v>
      </c>
      <c r="AS183" s="0" t="n">
        <f aca="false">MAX(0,AD183-H183)</f>
        <v>84</v>
      </c>
      <c r="AT183" s="0" t="n">
        <f aca="false">MIN(Assumptions!$B$29,AS183)</f>
        <v>36</v>
      </c>
      <c r="AU183" s="0" t="n">
        <f aca="false">IF(AS183&gt;=Assumptions!$B$29,0,-PV(Assumptions!$B$5,Assumptions!$B$29-AS183,AR183))</f>
        <v>0</v>
      </c>
      <c r="AV183" s="1" t="n">
        <f aca="false">(-PV(Assumptions!$B$3,AT183,AR183))/POWER(1+Assumptions!$B$2,AH183)</f>
        <v>27110.2920921093</v>
      </c>
      <c r="AW183" s="1" t="n">
        <f aca="false">-PV(Assumptions!$B$2,AH183,T183+AI183)</f>
        <v>5318.41766002654</v>
      </c>
      <c r="AX183" s="1" t="n">
        <f aca="false">(-PV(Assumptions!$B$2,C183,S183))-(-PV(Assumptions!$B$2,AH183,S183))</f>
        <v>8919.48888629116</v>
      </c>
      <c r="AY183" s="1" t="n">
        <f aca="false">AJ183+AW183+AX183+(-PV(Assumptions!$B$2,C183,R183))+X183-(W183/POWER(1+Assumptions!$B$2,C183))</f>
        <v>43288.4067646458</v>
      </c>
      <c r="AZ183" s="1" t="n">
        <f aca="false">AY183+AV183+(AU183/POWER(1+Assumptions!$B$2,C183))</f>
        <v>70398.6988567551</v>
      </c>
      <c r="BA183" s="0" t="n">
        <f aca="false">AQ183/POWER(1+Assumptions!$B$2,AH183)</f>
        <v>26200.4238253345</v>
      </c>
      <c r="BB183" s="1" t="n">
        <f aca="false">AY183+BA183</f>
        <v>69488.8305899804</v>
      </c>
      <c r="BC183" s="1" t="n">
        <f aca="false">AJ183+Assumptions!$B$28/POWER(1+Assumptions!$B$2,AH183)+(-PV(Assumptions!$B$2,AH183,R183+T183+AI183))</f>
        <v>32198.7301808973</v>
      </c>
      <c r="BD183" s="1" t="n">
        <f aca="false">MIN(Z183,AG183,AZ183)</f>
        <v>70398.6988567551</v>
      </c>
      <c r="BE183" s="0" t="str">
        <f aca="false">IF(BD183=Z183,"Cash",IF(BD183=AG183,"Loan","Lease then buy out"))</f>
        <v>Lease then buy out</v>
      </c>
    </row>
    <row r="184" customFormat="false" ht="15" hidden="false" customHeight="false" outlineLevel="0" collapsed="false">
      <c r="A184" s="0" t="s">
        <v>92</v>
      </c>
      <c r="B184" s="0" t="s">
        <v>93</v>
      </c>
      <c r="C184" s="0" t="n">
        <v>10</v>
      </c>
      <c r="D184" s="0" t="n">
        <v>0</v>
      </c>
      <c r="E184" s="0" t="n">
        <v>48195</v>
      </c>
      <c r="F184" s="0" t="n">
        <v>2933</v>
      </c>
      <c r="G184" s="0" t="n">
        <v>918</v>
      </c>
      <c r="H184" s="0" t="n">
        <v>36</v>
      </c>
      <c r="I184" s="0" t="n">
        <v>19</v>
      </c>
      <c r="J184" s="0" t="n">
        <v>21217</v>
      </c>
      <c r="K184" s="0" t="s">
        <v>35</v>
      </c>
      <c r="L184" s="0" t="n">
        <v>149.7</v>
      </c>
      <c r="M184" s="0" t="n">
        <f aca="false">MAX(Assumptions!$B$33,Assumptions!$B$30-Assumptions!$B$31*(H184-36)-IF(D184=1,Assumptions!$B$32,0))</f>
        <v>0.57</v>
      </c>
      <c r="N184" s="0" t="n">
        <f aca="false">E184*M184</f>
        <v>27471.15</v>
      </c>
      <c r="O184" s="0" t="n">
        <f aca="false">1-POWER(J184/E184,0.1)</f>
        <v>0.0787697310584671</v>
      </c>
      <c r="P184" s="0" t="n">
        <f aca="false">E184*(1+Assumptions!$B$8)+Assumptions!$B$9</f>
        <v>51004.75</v>
      </c>
      <c r="Q184" s="0" t="n">
        <f aca="false">IF(D184=1,Assumptions!$B$14*33.7,Assumptions!$B$13)</f>
        <v>3.1</v>
      </c>
      <c r="R184" s="0" t="n">
        <f aca="false">(Assumptions!$B$10/I184)*Q184</f>
        <v>1631.57894736842</v>
      </c>
      <c r="S184" s="0" t="n">
        <f aca="false">Assumptions!$B$15+Assumptions!$B$17</f>
        <v>1750</v>
      </c>
      <c r="T184" s="0" t="n">
        <f aca="false">Assumptions!$B$15*(1+Assumptions!$B$16)+Assumptions!$B$17</f>
        <v>1942</v>
      </c>
      <c r="U184" s="0" t="n">
        <f aca="false">IF(OR(C184&gt;Assumptions!$B$11,Assumptions!$B$10*C184&gt;Assumptions!$B$12),1,0)</f>
        <v>0</v>
      </c>
      <c r="V184" s="0" t="n">
        <f aca="false">MAX(0.6,1-Assumptions!$B$22*MAX(0,(Assumptions!$B$10-10000)*C184)/10000)</f>
        <v>1</v>
      </c>
      <c r="W184" s="0" t="n">
        <f aca="false">IF(U184=1,Assumptions!$B$23,MAX(Assumptions!$B$23,E184*POWER(1-O184,C184)*V184))</f>
        <v>21217</v>
      </c>
      <c r="X184" s="0" t="n">
        <f aca="true">SUMPRODUCT((ROW(INDIRECT("1:"&amp;C184))&gt;Assumptions!$B$20)*Assumptions!$B$18*POWER(Assumptions!$B$19,ROW(INDIRECT("1:"&amp;C184))-Assumptions!$B$20-1)*IF(ROW(INDIRECT("1:"&amp;C184))&gt;Assumptions!$B$11,Assumptions!$B$21,1)/POWER(1+Assumptions!$B$2,ROW(INDIRECT("1:"&amp;C184))))</f>
        <v>7070.12417022456</v>
      </c>
      <c r="Y184" s="1" t="n">
        <f aca="false">-PV(Assumptions!$B$2,C184,R184+S184)+X184</f>
        <v>33566.417925254</v>
      </c>
      <c r="Z184" s="1" t="n">
        <f aca="false">P184+Y184-(W184/POWER(1+Assumptions!$B$2,C184))</f>
        <v>71167.7006114519</v>
      </c>
      <c r="AA184" s="0" t="n">
        <f aca="false">P184*Assumptions!$B$7</f>
        <v>5100.475</v>
      </c>
      <c r="AB184" s="0" t="n">
        <f aca="false">P184-AA184</f>
        <v>45904.275</v>
      </c>
      <c r="AC184" s="1" t="n">
        <f aca="false">PMT(Assumptions!$B$5,Assumptions!$B$6,-AB184)</f>
        <v>908.743101577029</v>
      </c>
      <c r="AD184" s="0" t="n">
        <f aca="false">C184*12</f>
        <v>120</v>
      </c>
      <c r="AE184" s="0" t="n">
        <f aca="false">MIN(Assumptions!$B$6,AD184)</f>
        <v>60</v>
      </c>
      <c r="AF184" s="0" t="n">
        <f aca="false">IF(AD184&gt;=Assumptions!$B$6,0,-PV(Assumptions!$B$5,Assumptions!$B$6-AD184,AC184))</f>
        <v>0</v>
      </c>
      <c r="AG184" s="1" t="n">
        <f aca="false">AA184+(-PV(Assumptions!$B$3,AE184,AC184))+Y184-((W184-AF184)/POWER(1+Assumptions!$B$2,C184))</f>
        <v>73770.8609826827</v>
      </c>
      <c r="AH184" s="0" t="n">
        <f aca="false">H184/12</f>
        <v>3</v>
      </c>
      <c r="AI184" s="0" t="n">
        <f aca="false">MAX(0,Assumptions!$B$10-Assumptions!$B$24)*Assumptions!$B$25</f>
        <v>0</v>
      </c>
      <c r="AJ184" s="1" t="n">
        <f aca="false">F184+Assumptions!$B$27+(-PV(Assumptions!$B$3,H184-1,G184))</f>
        <v>33603.3049206029</v>
      </c>
      <c r="AK184" s="0" t="n">
        <f aca="false">CEILING(C184/AH184,1)</f>
        <v>4</v>
      </c>
      <c r="AL184" s="0" t="n">
        <f aca="false">(1+Assumptions!$B$26)/POWER(1+Assumptions!$B$2,AH184)</f>
        <v>0.906135810905202</v>
      </c>
      <c r="AM184" s="0" t="n">
        <f aca="false">IF(ABS(1-AL184)&lt;0.000000000001,AK184,(1-POWER(AL184,AK184))/(1-AL184))</f>
        <v>3.47122982028551</v>
      </c>
      <c r="AN184" s="0" t="n">
        <f aca="false">1/POWER(1+Assumptions!$B$2,AH184)</f>
        <v>0.871284433562695</v>
      </c>
      <c r="AO184" s="0" t="n">
        <f aca="false">IF(ABS(1-AN184)&lt;0.000000000001,AK184,AN184*(1-POWER(AN184,AK184))/(1-AN184))</f>
        <v>2.86813319209759</v>
      </c>
      <c r="AP184" s="1" t="n">
        <f aca="false">AJ184*AM184+Assumptions!$B$28*AO184+(-PV(Assumptions!$B$2,C184,R184+T184+AI184))</f>
        <v>145792.75326655</v>
      </c>
      <c r="AQ184" s="0" t="n">
        <f aca="false">N184*(1+Assumptions!$B$8)</f>
        <v>28844.7075</v>
      </c>
      <c r="AR184" s="1" t="n">
        <f aca="false">PMT(Assumptions!$B$5,Assumptions!$B$29,-AQ184)</f>
        <v>890.508950923005</v>
      </c>
      <c r="AS184" s="0" t="n">
        <f aca="false">MAX(0,AD184-H184)</f>
        <v>84</v>
      </c>
      <c r="AT184" s="0" t="n">
        <f aca="false">MIN(Assumptions!$B$29,AS184)</f>
        <v>36</v>
      </c>
      <c r="AU184" s="0" t="n">
        <f aca="false">IF(AS184&gt;=Assumptions!$B$29,0,-PV(Assumptions!$B$5,Assumptions!$B$29-AS184,AR184))</f>
        <v>0</v>
      </c>
      <c r="AV184" s="1" t="n">
        <f aca="false">(-PV(Assumptions!$B$3,AT184,AR184))/POWER(1+Assumptions!$B$2,AH184)</f>
        <v>26004.70757462</v>
      </c>
      <c r="AW184" s="1" t="n">
        <f aca="false">-PV(Assumptions!$B$2,AH184,T184+AI184)</f>
        <v>5318.41766002654</v>
      </c>
      <c r="AX184" s="1" t="n">
        <f aca="false">(-PV(Assumptions!$B$2,C184,S184))-(-PV(Assumptions!$B$2,AH184,S184))</f>
        <v>8919.48888629116</v>
      </c>
      <c r="AY184" s="1" t="n">
        <f aca="false">AJ184+AW184+AX184+(-PV(Assumptions!$B$2,C184,R184))+X184-(W184/POWER(1+Assumptions!$B$2,C184))</f>
        <v>54292.0723140965</v>
      </c>
      <c r="AZ184" s="1" t="n">
        <f aca="false">AY184+AV184+(AU184/POWER(1+Assumptions!$B$2,C184))</f>
        <v>80296.7798887164</v>
      </c>
      <c r="BA184" s="0" t="n">
        <f aca="false">AQ184/POWER(1+Assumptions!$B$2,AH184)</f>
        <v>25131.9446354191</v>
      </c>
      <c r="BB184" s="1" t="n">
        <f aca="false">AY184+BA184</f>
        <v>79424.0169495156</v>
      </c>
      <c r="BC184" s="1" t="n">
        <f aca="false">AJ184+Assumptions!$B$28/POWER(1+Assumptions!$B$2,AH184)+(-PV(Assumptions!$B$2,AH184,R184+T184+AI184))</f>
        <v>43738.5258944313</v>
      </c>
      <c r="BD184" s="1" t="n">
        <f aca="false">MIN(Z184,AG184,AZ184)</f>
        <v>71167.7006114519</v>
      </c>
      <c r="BE184" s="0" t="str">
        <f aca="false">IF(BD184=Z184,"Cash",IF(BD184=AG184,"Loan","Lease then buy out"))</f>
        <v>Cash</v>
      </c>
    </row>
    <row r="185" customFormat="false" ht="15" hidden="false" customHeight="false" outlineLevel="0" collapsed="false">
      <c r="A185" s="0" t="s">
        <v>78</v>
      </c>
      <c r="B185" s="0" t="s">
        <v>94</v>
      </c>
      <c r="C185" s="0" t="n">
        <v>10</v>
      </c>
      <c r="D185" s="0" t="n">
        <v>0</v>
      </c>
      <c r="E185" s="0" t="n">
        <v>53913</v>
      </c>
      <c r="F185" s="0" t="n">
        <v>5612</v>
      </c>
      <c r="G185" s="0" t="n">
        <v>612</v>
      </c>
      <c r="H185" s="0" t="n">
        <v>36</v>
      </c>
      <c r="I185" s="0" t="n">
        <v>25</v>
      </c>
      <c r="J185" s="0" t="n">
        <v>24748</v>
      </c>
      <c r="K185" s="0" t="s">
        <v>35</v>
      </c>
      <c r="L185" s="0" t="n">
        <v>143.2</v>
      </c>
      <c r="M185" s="0" t="n">
        <f aca="false">MAX(Assumptions!$B$33,Assumptions!$B$30-Assumptions!$B$31*(H185-36)-IF(D185=1,Assumptions!$B$32,0))</f>
        <v>0.57</v>
      </c>
      <c r="N185" s="0" t="n">
        <f aca="false">E185*M185</f>
        <v>30730.41</v>
      </c>
      <c r="O185" s="0" t="n">
        <f aca="false">1-POWER(J185/E185,0.1)</f>
        <v>0.0749085632873378</v>
      </c>
      <c r="P185" s="0" t="n">
        <f aca="false">E185*(1+Assumptions!$B$8)+Assumptions!$B$9</f>
        <v>57008.65</v>
      </c>
      <c r="Q185" s="0" t="n">
        <f aca="false">IF(D185=1,Assumptions!$B$14*33.7,Assumptions!$B$13)</f>
        <v>3.1</v>
      </c>
      <c r="R185" s="0" t="n">
        <f aca="false">(Assumptions!$B$10/I185)*Q185</f>
        <v>1240</v>
      </c>
      <c r="S185" s="0" t="n">
        <f aca="false">Assumptions!$B$15+Assumptions!$B$17</f>
        <v>1750</v>
      </c>
      <c r="T185" s="0" t="n">
        <f aca="false">Assumptions!$B$15*(1+Assumptions!$B$16)+Assumptions!$B$17</f>
        <v>1942</v>
      </c>
      <c r="U185" s="0" t="n">
        <f aca="false">IF(OR(C185&gt;Assumptions!$B$11,Assumptions!$B$10*C185&gt;Assumptions!$B$12),1,0)</f>
        <v>0</v>
      </c>
      <c r="V185" s="0" t="n">
        <f aca="false">MAX(0.6,1-Assumptions!$B$22*MAX(0,(Assumptions!$B$10-10000)*C185)/10000)</f>
        <v>1</v>
      </c>
      <c r="W185" s="0" t="n">
        <f aca="false">IF(U185=1,Assumptions!$B$23,MAX(Assumptions!$B$23,E185*POWER(1-O185,C185)*V185))</f>
        <v>24748</v>
      </c>
      <c r="X185" s="0" t="n">
        <f aca="true">SUMPRODUCT((ROW(INDIRECT("1:"&amp;C185))&gt;Assumptions!$B$20)*Assumptions!$B$18*POWER(Assumptions!$B$19,ROW(INDIRECT("1:"&amp;C185))-Assumptions!$B$20-1)*IF(ROW(INDIRECT("1:"&amp;C185))&gt;Assumptions!$B$11,Assumptions!$B$21,1)/POWER(1+Assumptions!$B$2,ROW(INDIRECT("1:"&amp;C185))))</f>
        <v>7070.12417022456</v>
      </c>
      <c r="Y185" s="1" t="n">
        <f aca="false">-PV(Assumptions!$B$2,C185,R185+S185)+X185</f>
        <v>30498.2089674732</v>
      </c>
      <c r="Z185" s="1" t="n">
        <f aca="false">P185+Y185-(W185/POWER(1+Assumptions!$B$2,C185))</f>
        <v>71872.7443856767</v>
      </c>
      <c r="AA185" s="0" t="n">
        <f aca="false">P185*Assumptions!$B$7</f>
        <v>5700.865</v>
      </c>
      <c r="AB185" s="0" t="n">
        <f aca="false">P185-AA185</f>
        <v>51307.785</v>
      </c>
      <c r="AC185" s="1" t="n">
        <f aca="false">PMT(Assumptions!$B$5,Assumptions!$B$6,-AB185)</f>
        <v>1015.71358388619</v>
      </c>
      <c r="AD185" s="0" t="n">
        <f aca="false">C185*12</f>
        <v>120</v>
      </c>
      <c r="AE185" s="0" t="n">
        <f aca="false">MIN(Assumptions!$B$6,AD185)</f>
        <v>60</v>
      </c>
      <c r="AF185" s="0" t="n">
        <f aca="false">IF(AD185&gt;=Assumptions!$B$6,0,-PV(Assumptions!$B$5,Assumptions!$B$6-AD185,AC185))</f>
        <v>0</v>
      </c>
      <c r="AG185" s="1" t="n">
        <f aca="false">AA185+(-PV(Assumptions!$B$3,AE185,AC185))+Y185-((W185-AF185)/POWER(1+Assumptions!$B$2,C185))</f>
        <v>74782.3294438795</v>
      </c>
      <c r="AH185" s="0" t="n">
        <f aca="false">H185/12</f>
        <v>3</v>
      </c>
      <c r="AI185" s="0" t="n">
        <f aca="false">MAX(0,Assumptions!$B$10-Assumptions!$B$24)*Assumptions!$B$25</f>
        <v>0</v>
      </c>
      <c r="AJ185" s="1" t="n">
        <f aca="false">F185+Assumptions!$B$27+(-PV(Assumptions!$B$3,H185-1,G185))</f>
        <v>26292.2032804019</v>
      </c>
      <c r="AK185" s="0" t="n">
        <f aca="false">CEILING(C185/AH185,1)</f>
        <v>4</v>
      </c>
      <c r="AL185" s="0" t="n">
        <f aca="false">(1+Assumptions!$B$26)/POWER(1+Assumptions!$B$2,AH185)</f>
        <v>0.906135810905202</v>
      </c>
      <c r="AM185" s="0" t="n">
        <f aca="false">IF(ABS(1-AL185)&lt;0.000000000001,AK185,(1-POWER(AL185,AK185))/(1-AL185))</f>
        <v>3.47122982028551</v>
      </c>
      <c r="AN185" s="0" t="n">
        <f aca="false">1/POWER(1+Assumptions!$B$2,AH185)</f>
        <v>0.871284433562695</v>
      </c>
      <c r="AO185" s="0" t="n">
        <f aca="false">IF(ABS(1-AN185)&lt;0.000000000001,AK185,AN185*(1-POWER(AN185,AK185))/(1-AN185))</f>
        <v>2.86813319209759</v>
      </c>
      <c r="AP185" s="1" t="n">
        <f aca="false">AJ185*AM185+Assumptions!$B$28*AO185+(-PV(Assumptions!$B$2,C185,R185+T185+AI185))</f>
        <v>117346.030276165</v>
      </c>
      <c r="AQ185" s="0" t="n">
        <f aca="false">N185*(1+Assumptions!$B$8)</f>
        <v>32266.9305</v>
      </c>
      <c r="AR185" s="1" t="n">
        <f aca="false">PMT(Assumptions!$B$5,Assumptions!$B$29,-AQ185)</f>
        <v>996.161615750845</v>
      </c>
      <c r="AS185" s="0" t="n">
        <f aca="false">MAX(0,AD185-H185)</f>
        <v>84</v>
      </c>
      <c r="AT185" s="0" t="n">
        <f aca="false">MIN(Assumptions!$B$29,AS185)</f>
        <v>36</v>
      </c>
      <c r="AU185" s="0" t="n">
        <f aca="false">IF(AS185&gt;=Assumptions!$B$29,0,-PV(Assumptions!$B$5,Assumptions!$B$29-AS185,AR185))</f>
        <v>0</v>
      </c>
      <c r="AV185" s="1" t="n">
        <f aca="false">(-PV(Assumptions!$B$3,AT185,AR185))/POWER(1+Assumptions!$B$2,AH185)</f>
        <v>29089.9844272328</v>
      </c>
      <c r="AW185" s="1" t="n">
        <f aca="false">-PV(Assumptions!$B$2,AH185,T185+AI185)</f>
        <v>5318.41766002654</v>
      </c>
      <c r="AX185" s="1" t="n">
        <f aca="false">(-PV(Assumptions!$B$2,C185,S185))-(-PV(Assumptions!$B$2,AH185,S185))</f>
        <v>8919.48888629116</v>
      </c>
      <c r="AY185" s="1" t="n">
        <f aca="false">AJ185+AW185+AX185+(-PV(Assumptions!$B$2,C185,R185))+X185-(W185/POWER(1+Assumptions!$B$2,C185))</f>
        <v>41682.1144481204</v>
      </c>
      <c r="AZ185" s="1" t="n">
        <f aca="false">AY185+AV185+(AU185/POWER(1+Assumptions!$B$2,C185))</f>
        <v>70772.0988753532</v>
      </c>
      <c r="BA185" s="0" t="n">
        <f aca="false">AQ185/POWER(1+Assumptions!$B$2,AH185)</f>
        <v>28113.6742634993</v>
      </c>
      <c r="BB185" s="1" t="n">
        <f aca="false">AY185+BA185</f>
        <v>69795.7887116197</v>
      </c>
      <c r="BC185" s="1" t="n">
        <f aca="false">AJ185+Assumptions!$B$28/POWER(1+Assumptions!$B$2,AH185)+(-PV(Assumptions!$B$2,AH185,R185+T185+AI185))</f>
        <v>35355.0347645399</v>
      </c>
      <c r="BD185" s="1" t="n">
        <f aca="false">MIN(Z185,AG185,AZ185)</f>
        <v>70772.0988753532</v>
      </c>
      <c r="BE185" s="0" t="str">
        <f aca="false">IF(BD185=Z185,"Cash",IF(BD185=AG185,"Loan","Lease then buy out"))</f>
        <v>Lease then buy out</v>
      </c>
    </row>
    <row r="186" customFormat="false" ht="15" hidden="false" customHeight="false" outlineLevel="0" collapsed="false">
      <c r="A186" s="0" t="s">
        <v>89</v>
      </c>
      <c r="B186" s="0" t="s">
        <v>95</v>
      </c>
      <c r="C186" s="0" t="n">
        <v>10</v>
      </c>
      <c r="D186" s="0" t="n">
        <v>0</v>
      </c>
      <c r="E186" s="0" t="n">
        <v>61012</v>
      </c>
      <c r="F186" s="0" t="n">
        <v>5941</v>
      </c>
      <c r="G186" s="0" t="n">
        <v>941</v>
      </c>
      <c r="H186" s="0" t="n">
        <v>36</v>
      </c>
      <c r="I186" s="0" t="n">
        <v>25</v>
      </c>
      <c r="J186" s="0" t="n">
        <v>23147</v>
      </c>
      <c r="K186" s="0" t="s">
        <v>35</v>
      </c>
      <c r="L186" s="0" t="n">
        <v>152</v>
      </c>
      <c r="M186" s="0" t="n">
        <f aca="false">MAX(Assumptions!$B$33,Assumptions!$B$30-Assumptions!$B$31*(H186-36)-IF(D186=1,Assumptions!$B$32,0))</f>
        <v>0.57</v>
      </c>
      <c r="N186" s="0" t="n">
        <f aca="false">E186*M186</f>
        <v>34776.84</v>
      </c>
      <c r="O186" s="0" t="n">
        <f aca="false">1-POWER(J186/E186,0.1)</f>
        <v>0.0923718751160323</v>
      </c>
      <c r="P186" s="0" t="n">
        <f aca="false">E186*(1+Assumptions!$B$8)+Assumptions!$B$9</f>
        <v>64462.6</v>
      </c>
      <c r="Q186" s="0" t="n">
        <f aca="false">IF(D186=1,Assumptions!$B$14*33.7,Assumptions!$B$13)</f>
        <v>3.1</v>
      </c>
      <c r="R186" s="0" t="n">
        <f aca="false">(Assumptions!$B$10/I186)*Q186</f>
        <v>1240</v>
      </c>
      <c r="S186" s="0" t="n">
        <f aca="false">Assumptions!$B$15+Assumptions!$B$17</f>
        <v>1750</v>
      </c>
      <c r="T186" s="0" t="n">
        <f aca="false">Assumptions!$B$15*(1+Assumptions!$B$16)+Assumptions!$B$17</f>
        <v>1942</v>
      </c>
      <c r="U186" s="0" t="n">
        <f aca="false">IF(OR(C186&gt;Assumptions!$B$11,Assumptions!$B$10*C186&gt;Assumptions!$B$12),1,0)</f>
        <v>0</v>
      </c>
      <c r="V186" s="0" t="n">
        <f aca="false">MAX(0.6,1-Assumptions!$B$22*MAX(0,(Assumptions!$B$10-10000)*C186)/10000)</f>
        <v>1</v>
      </c>
      <c r="W186" s="0" t="n">
        <f aca="false">IF(U186=1,Assumptions!$B$23,MAX(Assumptions!$B$23,E186*POWER(1-O186,C186)*V186))</f>
        <v>23147</v>
      </c>
      <c r="X186" s="0" t="n">
        <f aca="true">SUMPRODUCT((ROW(INDIRECT("1:"&amp;C186))&gt;Assumptions!$B$20)*Assumptions!$B$18*POWER(Assumptions!$B$19,ROW(INDIRECT("1:"&amp;C186))-Assumptions!$B$20-1)*IF(ROW(INDIRECT("1:"&amp;C186))&gt;Assumptions!$B$11,Assumptions!$B$21,1)/POWER(1+Assumptions!$B$2,ROW(INDIRECT("1:"&amp;C186))))</f>
        <v>7070.12417022456</v>
      </c>
      <c r="Y186" s="1" t="n">
        <f aca="false">-PV(Assumptions!$B$2,C186,R186+S186)+X186</f>
        <v>30498.2089674732</v>
      </c>
      <c r="Z186" s="1" t="n">
        <f aca="false">P186+Y186-(W186/POWER(1+Assumptions!$B$2,C186))</f>
        <v>80338.0980322524</v>
      </c>
      <c r="AA186" s="0" t="n">
        <f aca="false">P186*Assumptions!$B$7</f>
        <v>6446.26</v>
      </c>
      <c r="AB186" s="0" t="n">
        <f aca="false">P186-AA186</f>
        <v>58016.34</v>
      </c>
      <c r="AC186" s="1" t="n">
        <f aca="false">PMT(Assumptions!$B$5,Assumptions!$B$6,-AB186)</f>
        <v>1148.51936456348</v>
      </c>
      <c r="AD186" s="0" t="n">
        <f aca="false">C186*12</f>
        <v>120</v>
      </c>
      <c r="AE186" s="0" t="n">
        <f aca="false">MIN(Assumptions!$B$6,AD186)</f>
        <v>60</v>
      </c>
      <c r="AF186" s="0" t="n">
        <f aca="false">IF(AD186&gt;=Assumptions!$B$6,0,-PV(Assumptions!$B$5,Assumptions!$B$6-AD186,AC186))</f>
        <v>0</v>
      </c>
      <c r="AG186" s="1" t="n">
        <f aca="false">AA186+(-PV(Assumptions!$B$3,AE186,AC186))+Y186-((W186-AF186)/POWER(1+Assumptions!$B$2,C186))</f>
        <v>83628.114859048</v>
      </c>
      <c r="AH186" s="0" t="n">
        <f aca="false">H186/12</f>
        <v>3</v>
      </c>
      <c r="AI186" s="0" t="n">
        <f aca="false">MAX(0,Assumptions!$B$10-Assumptions!$B$24)*Assumptions!$B$25</f>
        <v>0</v>
      </c>
      <c r="AJ186" s="1" t="n">
        <f aca="false">F186+Assumptions!$B$27+(-PV(Assumptions!$B$3,H186-1,G186))</f>
        <v>37362.194913167</v>
      </c>
      <c r="AK186" s="0" t="n">
        <f aca="false">CEILING(C186/AH186,1)</f>
        <v>4</v>
      </c>
      <c r="AL186" s="0" t="n">
        <f aca="false">(1+Assumptions!$B$26)/POWER(1+Assumptions!$B$2,AH186)</f>
        <v>0.906135810905202</v>
      </c>
      <c r="AM186" s="0" t="n">
        <f aca="false">IF(ABS(1-AL186)&lt;0.000000000001,AK186,(1-POWER(AL186,AK186))/(1-AL186))</f>
        <v>3.47122982028551</v>
      </c>
      <c r="AN186" s="0" t="n">
        <f aca="false">1/POWER(1+Assumptions!$B$2,AH186)</f>
        <v>0.871284433562695</v>
      </c>
      <c r="AO186" s="0" t="n">
        <f aca="false">IF(ABS(1-AN186)&lt;0.000000000001,AK186,AN186*(1-POWER(AN186,AK186))/(1-AN186))</f>
        <v>2.86813319209759</v>
      </c>
      <c r="AP186" s="1" t="n">
        <f aca="false">AJ186*AM186+Assumptions!$B$28*AO186+(-PV(Assumptions!$B$2,C186,R186+T186+AI186))</f>
        <v>155772.51534213</v>
      </c>
      <c r="AQ186" s="0" t="n">
        <f aca="false">N186*(1+Assumptions!$B$8)</f>
        <v>36515.682</v>
      </c>
      <c r="AR186" s="1" t="n">
        <f aca="false">PMT(Assumptions!$B$5,Assumptions!$B$29,-AQ186)</f>
        <v>1127.33130228684</v>
      </c>
      <c r="AS186" s="0" t="n">
        <f aca="false">MAX(0,AD186-H186)</f>
        <v>84</v>
      </c>
      <c r="AT186" s="0" t="n">
        <f aca="false">MIN(Assumptions!$B$29,AS186)</f>
        <v>36</v>
      </c>
      <c r="AU186" s="0" t="n">
        <f aca="false">IF(AS186&gt;=Assumptions!$B$29,0,-PV(Assumptions!$B$5,Assumptions!$B$29-AS186,AR186))</f>
        <v>0</v>
      </c>
      <c r="AV186" s="1" t="n">
        <f aca="false">(-PV(Assumptions!$B$3,AT186,AR186))/POWER(1+Assumptions!$B$2,AH186)</f>
        <v>32920.4112157426</v>
      </c>
      <c r="AW186" s="1" t="n">
        <f aca="false">-PV(Assumptions!$B$2,AH186,T186+AI186)</f>
        <v>5318.41766002654</v>
      </c>
      <c r="AX186" s="1" t="n">
        <f aca="false">(-PV(Assumptions!$B$2,C186,S186))-(-PV(Assumptions!$B$2,AH186,S186))</f>
        <v>8919.48888629116</v>
      </c>
      <c r="AY186" s="1" t="n">
        <f aca="false">AJ186+AW186+AX186+(-PV(Assumptions!$B$2,C186,R186))+X186-(W186/POWER(1+Assumptions!$B$2,C186))</f>
        <v>53763.5097274612</v>
      </c>
      <c r="AZ186" s="1" t="n">
        <f aca="false">AY186+AV186+(AU186/POWER(1+Assumptions!$B$2,C186))</f>
        <v>86683.9209432038</v>
      </c>
      <c r="BA186" s="0" t="n">
        <f aca="false">AQ186/POWER(1+Assumptions!$B$2,AH186)</f>
        <v>31815.5453075255</v>
      </c>
      <c r="BB186" s="1" t="n">
        <f aca="false">AY186+BA186</f>
        <v>85579.0550349867</v>
      </c>
      <c r="BC186" s="1" t="n">
        <f aca="false">AJ186+Assumptions!$B$28/POWER(1+Assumptions!$B$2,AH186)+(-PV(Assumptions!$B$2,AH186,R186+T186+AI186))</f>
        <v>46425.026397305</v>
      </c>
      <c r="BD186" s="1" t="n">
        <f aca="false">MIN(Z186,AG186,AZ186)</f>
        <v>80338.0980322524</v>
      </c>
      <c r="BE186" s="0" t="str">
        <f aca="false">IF(BD186=Z186,"Cash",IF(BD186=AG186,"Loan","Lease then buy out"))</f>
        <v>Cash</v>
      </c>
    </row>
    <row r="187" customFormat="false" ht="15" hidden="false" customHeight="false" outlineLevel="0" collapsed="false">
      <c r="A187" s="0" t="s">
        <v>51</v>
      </c>
      <c r="B187" s="0" t="s">
        <v>96</v>
      </c>
      <c r="C187" s="0" t="n">
        <v>10</v>
      </c>
      <c r="D187" s="0" t="n">
        <v>1</v>
      </c>
      <c r="E187" s="0" t="n">
        <v>73369</v>
      </c>
      <c r="F187" s="0" t="n">
        <v>3367</v>
      </c>
      <c r="G187" s="0" t="n">
        <v>867</v>
      </c>
      <c r="H187" s="0" t="n">
        <v>36</v>
      </c>
      <c r="I187" s="0" t="n">
        <v>63</v>
      </c>
      <c r="J187" s="0" t="n">
        <v>27865</v>
      </c>
      <c r="K187" s="0" t="s">
        <v>35</v>
      </c>
      <c r="L187" s="0" t="n">
        <v>90.1</v>
      </c>
      <c r="M187" s="0" t="n">
        <f aca="false">MAX(Assumptions!$B$33,Assumptions!$B$30-Assumptions!$B$31*(H187-36)-IF(D187=1,Assumptions!$B$32,0))</f>
        <v>0.49</v>
      </c>
      <c r="N187" s="0" t="n">
        <f aca="false">E187*M187</f>
        <v>35950.81</v>
      </c>
      <c r="O187" s="0" t="n">
        <f aca="false">1-POWER(J187/E187,0.1)</f>
        <v>0.0922742724734669</v>
      </c>
      <c r="P187" s="0" t="n">
        <f aca="false">E187*(1+Assumptions!$B$8)+Assumptions!$B$9</f>
        <v>77437.45</v>
      </c>
      <c r="Q187" s="0" t="n">
        <f aca="false">IF(D187=1,Assumptions!$B$14*33.7,Assumptions!$B$13)</f>
        <v>5.729</v>
      </c>
      <c r="R187" s="0" t="n">
        <f aca="false">(Assumptions!$B$10/I187)*Q187</f>
        <v>909.36507936508</v>
      </c>
      <c r="S187" s="0" t="n">
        <f aca="false">Assumptions!$B$15+Assumptions!$B$17</f>
        <v>1750</v>
      </c>
      <c r="T187" s="0" t="n">
        <f aca="false">Assumptions!$B$15*(1+Assumptions!$B$16)+Assumptions!$B$17</f>
        <v>1942</v>
      </c>
      <c r="U187" s="0" t="n">
        <f aca="false">IF(OR(C187&gt;Assumptions!$B$11,Assumptions!$B$10*C187&gt;Assumptions!$B$12),1,0)</f>
        <v>0</v>
      </c>
      <c r="V187" s="0" t="n">
        <f aca="false">MAX(0.6,1-Assumptions!$B$22*MAX(0,(Assumptions!$B$10-10000)*C187)/10000)</f>
        <v>1</v>
      </c>
      <c r="W187" s="0" t="n">
        <f aca="false">IF(U187=1,Assumptions!$B$23,MAX(Assumptions!$B$23,E187*POWER(1-O187,C187)*V187))</f>
        <v>27865</v>
      </c>
      <c r="X187" s="0" t="n">
        <f aca="true">SUMPRODUCT((ROW(INDIRECT("1:"&amp;C187))&gt;Assumptions!$B$20)*Assumptions!$B$18*POWER(Assumptions!$B$19,ROW(INDIRECT("1:"&amp;C187))-Assumptions!$B$20-1)*IF(ROW(INDIRECT("1:"&amp;C187))&gt;Assumptions!$B$11,Assumptions!$B$21,1)/POWER(1+Assumptions!$B$2,ROW(INDIRECT("1:"&amp;C187))))</f>
        <v>7070.12417022456</v>
      </c>
      <c r="Y187" s="1" t="n">
        <f aca="false">-PV(Assumptions!$B$2,C187,R187+S187)+X187</f>
        <v>27907.525704073</v>
      </c>
      <c r="Z187" s="1" t="n">
        <f aca="false">P187+Y187-(W187/POWER(1+Assumptions!$B$2,C187))</f>
        <v>87741.7510870632</v>
      </c>
      <c r="AA187" s="0" t="n">
        <f aca="false">P187*Assumptions!$B$7</f>
        <v>7743.745</v>
      </c>
      <c r="AB187" s="0" t="n">
        <f aca="false">P187-AA187</f>
        <v>69693.705</v>
      </c>
      <c r="AC187" s="1" t="n">
        <f aca="false">PMT(Assumptions!$B$5,Assumptions!$B$6,-AB187)</f>
        <v>1379.6900973187</v>
      </c>
      <c r="AD187" s="0" t="n">
        <f aca="false">C187*12</f>
        <v>120</v>
      </c>
      <c r="AE187" s="0" t="n">
        <f aca="false">MIN(Assumptions!$B$6,AD187)</f>
        <v>60</v>
      </c>
      <c r="AF187" s="0" t="n">
        <f aca="false">IF(AD187&gt;=Assumptions!$B$6,0,-PV(Assumptions!$B$5,Assumptions!$B$6-AD187,AC187))</f>
        <v>0</v>
      </c>
      <c r="AG187" s="1" t="n">
        <f aca="false">AA187+(-PV(Assumptions!$B$3,AE187,AC187))+Y187-((W187-AF187)/POWER(1+Assumptions!$B$2,C187))</f>
        <v>91693.973205379</v>
      </c>
      <c r="AH187" s="0" t="n">
        <f aca="false">H187/12</f>
        <v>3</v>
      </c>
      <c r="AI187" s="0" t="n">
        <f aca="false">MAX(0,Assumptions!$B$10-Assumptions!$B$24)*Assumptions!$B$25</f>
        <v>0</v>
      </c>
      <c r="AJ187" s="1" t="n">
        <f aca="false">F187+Assumptions!$B$27+(-PV(Assumptions!$B$3,H187-1,G187))</f>
        <v>32372.2879805694</v>
      </c>
      <c r="AK187" s="0" t="n">
        <f aca="false">CEILING(C187/AH187,1)</f>
        <v>4</v>
      </c>
      <c r="AL187" s="0" t="n">
        <f aca="false">(1+Assumptions!$B$26)/POWER(1+Assumptions!$B$2,AH187)</f>
        <v>0.906135810905202</v>
      </c>
      <c r="AM187" s="0" t="n">
        <f aca="false">IF(ABS(1-AL187)&lt;0.000000000001,AK187,(1-POWER(AL187,AK187))/(1-AL187))</f>
        <v>3.47122982028551</v>
      </c>
      <c r="AN187" s="0" t="n">
        <f aca="false">1/POWER(1+Assumptions!$B$2,AH187)</f>
        <v>0.871284433562695</v>
      </c>
      <c r="AO187" s="0" t="n">
        <f aca="false">IF(ABS(1-AN187)&lt;0.000000000001,AK187,AN187*(1-POWER(AN187,AK187))/(1-AN187))</f>
        <v>2.86813319209759</v>
      </c>
      <c r="AP187" s="1" t="n">
        <f aca="false">AJ187*AM187+Assumptions!$B$28*AO187+(-PV(Assumptions!$B$2,C187,R187+T187+AI187))</f>
        <v>135860.718333848</v>
      </c>
      <c r="AQ187" s="0" t="n">
        <f aca="false">N187*(1+Assumptions!$B$8)</f>
        <v>37748.3505</v>
      </c>
      <c r="AR187" s="1" t="n">
        <f aca="false">PMT(Assumptions!$B$5,Assumptions!$B$29,-AQ187)</f>
        <v>1165.38689126346</v>
      </c>
      <c r="AS187" s="0" t="n">
        <f aca="false">MAX(0,AD187-H187)</f>
        <v>84</v>
      </c>
      <c r="AT187" s="0" t="n">
        <f aca="false">MIN(Assumptions!$B$29,AS187)</f>
        <v>36</v>
      </c>
      <c r="AU187" s="0" t="n">
        <f aca="false">IF(AS187&gt;=Assumptions!$B$29,0,-PV(Assumptions!$B$5,Assumptions!$B$29-AS187,AR187))</f>
        <v>0</v>
      </c>
      <c r="AV187" s="1" t="n">
        <f aca="false">(-PV(Assumptions!$B$3,AT187,AR187))/POWER(1+Assumptions!$B$2,AH187)</f>
        <v>34031.7133108997</v>
      </c>
      <c r="AW187" s="1" t="n">
        <f aca="false">-PV(Assumptions!$B$2,AH187,T187+AI187)</f>
        <v>5318.41766002654</v>
      </c>
      <c r="AX187" s="1" t="n">
        <f aca="false">(-PV(Assumptions!$B$2,C187,S187))-(-PV(Assumptions!$B$2,AH187,S187))</f>
        <v>8919.48888629116</v>
      </c>
      <c r="AY187" s="1" t="n">
        <f aca="false">AJ187+AW187+AX187+(-PV(Assumptions!$B$2,C187,R187))+X187-(W187/POWER(1+Assumptions!$B$2,C187))</f>
        <v>43202.4058496743</v>
      </c>
      <c r="AZ187" s="1" t="n">
        <f aca="false">AY187+AV187+(AU187/POWER(1+Assumptions!$B$2,C187))</f>
        <v>77234.1191605741</v>
      </c>
      <c r="BA187" s="0" t="n">
        <f aca="false">AQ187/POWER(1+Assumptions!$B$2,AH187)</f>
        <v>32889.5501833186</v>
      </c>
      <c r="BB187" s="1" t="n">
        <f aca="false">AY187+BA187</f>
        <v>76091.9560329929</v>
      </c>
      <c r="BC187" s="1" t="n">
        <f aca="false">AJ187+Assumptions!$B$28/POWER(1+Assumptions!$B$2,AH187)+(-PV(Assumptions!$B$2,AH187,R187+T187+AI187))</f>
        <v>40529.6330584632</v>
      </c>
      <c r="BD187" s="1" t="n">
        <f aca="false">MIN(Z187,AG187,AZ187)</f>
        <v>77234.1191605741</v>
      </c>
      <c r="BE187" s="0" t="str">
        <f aca="false">IF(BD187=Z187,"Cash",IF(BD187=AG187,"Loan","Lease then buy out"))</f>
        <v>Lease then buy out</v>
      </c>
    </row>
    <row r="188" customFormat="false" ht="15" hidden="false" customHeight="false" outlineLevel="0" collapsed="false">
      <c r="A188" s="0" t="s">
        <v>58</v>
      </c>
      <c r="B188" s="0" t="s">
        <v>97</v>
      </c>
      <c r="C188" s="0" t="n">
        <v>10</v>
      </c>
      <c r="D188" s="0" t="n">
        <v>0</v>
      </c>
      <c r="E188" s="0" t="n">
        <v>77972</v>
      </c>
      <c r="F188" s="0" t="n">
        <v>6060</v>
      </c>
      <c r="G188" s="0" t="n">
        <v>1060</v>
      </c>
      <c r="H188" s="0" t="n">
        <v>36</v>
      </c>
      <c r="I188" s="0" t="n">
        <v>25</v>
      </c>
      <c r="J188" s="0" t="n">
        <v>31917</v>
      </c>
      <c r="K188" s="0" t="s">
        <v>35</v>
      </c>
      <c r="L188" s="0" t="n">
        <v>179.1</v>
      </c>
      <c r="M188" s="0" t="n">
        <f aca="false">MAX(Assumptions!$B$33,Assumptions!$B$30-Assumptions!$B$31*(H188-36)-IF(D188=1,Assumptions!$B$32,0))</f>
        <v>0.57</v>
      </c>
      <c r="N188" s="0" t="n">
        <f aca="false">E188*M188</f>
        <v>44444.04</v>
      </c>
      <c r="O188" s="0" t="n">
        <f aca="false">1-POWER(J188/E188,0.1)</f>
        <v>0.0854481366097508</v>
      </c>
      <c r="P188" s="0" t="n">
        <f aca="false">E188*(1+Assumptions!$B$8)+Assumptions!$B$9</f>
        <v>82270.6</v>
      </c>
      <c r="Q188" s="0" t="n">
        <f aca="false">IF(D188=1,Assumptions!$B$14*33.7,Assumptions!$B$13)</f>
        <v>3.1</v>
      </c>
      <c r="R188" s="0" t="n">
        <f aca="false">(Assumptions!$B$10/I188)*Q188</f>
        <v>1240</v>
      </c>
      <c r="S188" s="0" t="n">
        <f aca="false">Assumptions!$B$15+Assumptions!$B$17</f>
        <v>1750</v>
      </c>
      <c r="T188" s="0" t="n">
        <f aca="false">Assumptions!$B$15*(1+Assumptions!$B$16)+Assumptions!$B$17</f>
        <v>1942</v>
      </c>
      <c r="U188" s="0" t="n">
        <f aca="false">IF(OR(C188&gt;Assumptions!$B$11,Assumptions!$B$10*C188&gt;Assumptions!$B$12),1,0)</f>
        <v>0</v>
      </c>
      <c r="V188" s="0" t="n">
        <f aca="false">MAX(0.6,1-Assumptions!$B$22*MAX(0,(Assumptions!$B$10-10000)*C188)/10000)</f>
        <v>1</v>
      </c>
      <c r="W188" s="0" t="n">
        <f aca="false">IF(U188=1,Assumptions!$B$23,MAX(Assumptions!$B$23,E188*POWER(1-O188,C188)*V188))</f>
        <v>31917</v>
      </c>
      <c r="X188" s="0" t="n">
        <f aca="true">SUMPRODUCT((ROW(INDIRECT("1:"&amp;C188))&gt;Assumptions!$B$20)*Assumptions!$B$18*POWER(Assumptions!$B$19,ROW(INDIRECT("1:"&amp;C188))-Assumptions!$B$20-1)*IF(ROW(INDIRECT("1:"&amp;C188))&gt;Assumptions!$B$11,Assumptions!$B$21,1)/POWER(1+Assumptions!$B$2,ROW(INDIRECT("1:"&amp;C188))))</f>
        <v>7070.12417022456</v>
      </c>
      <c r="Y188" s="1" t="n">
        <f aca="false">-PV(Assumptions!$B$2,C188,R188+S188)+X188</f>
        <v>30498.2089674732</v>
      </c>
      <c r="Z188" s="1" t="n">
        <f aca="false">P188+Y188-(W188/POWER(1+Assumptions!$B$2,C188))</f>
        <v>92605.8044779307</v>
      </c>
      <c r="AA188" s="0" t="n">
        <f aca="false">P188*Assumptions!$B$7</f>
        <v>8227.06</v>
      </c>
      <c r="AB188" s="0" t="n">
        <f aca="false">P188-AA188</f>
        <v>74043.54</v>
      </c>
      <c r="AC188" s="1" t="n">
        <f aca="false">PMT(Assumptions!$B$5,Assumptions!$B$6,-AB188)</f>
        <v>1465.80152265432</v>
      </c>
      <c r="AD188" s="0" t="n">
        <f aca="false">C188*12</f>
        <v>120</v>
      </c>
      <c r="AE188" s="0" t="n">
        <f aca="false">MIN(Assumptions!$B$6,AD188)</f>
        <v>60</v>
      </c>
      <c r="AF188" s="0" t="n">
        <f aca="false">IF(AD188&gt;=Assumptions!$B$6,0,-PV(Assumptions!$B$5,Assumptions!$B$6-AD188,AC188))</f>
        <v>0</v>
      </c>
      <c r="AG188" s="1" t="n">
        <f aca="false">AA188+(-PV(Assumptions!$B$3,AE188,AC188))+Y188-((W188-AF188)/POWER(1+Assumptions!$B$2,C188))</f>
        <v>96804.6990051538</v>
      </c>
      <c r="AH188" s="0" t="n">
        <f aca="false">H188/12</f>
        <v>3</v>
      </c>
      <c r="AI188" s="0" t="n">
        <f aca="false">MAX(0,Assumptions!$B$10-Assumptions!$B$24)*Assumptions!$B$25</f>
        <v>0</v>
      </c>
      <c r="AJ188" s="1" t="n">
        <f aca="false">F188+Assumptions!$B$27+(-PV(Assumptions!$B$3,H188-1,G188))</f>
        <v>41366.2344399118</v>
      </c>
      <c r="AK188" s="0" t="n">
        <f aca="false">CEILING(C188/AH188,1)</f>
        <v>4</v>
      </c>
      <c r="AL188" s="0" t="n">
        <f aca="false">(1+Assumptions!$B$26)/POWER(1+Assumptions!$B$2,AH188)</f>
        <v>0.906135810905202</v>
      </c>
      <c r="AM188" s="0" t="n">
        <f aca="false">IF(ABS(1-AL188)&lt;0.000000000001,AK188,(1-POWER(AL188,AK188))/(1-AL188))</f>
        <v>3.47122982028551</v>
      </c>
      <c r="AN188" s="0" t="n">
        <f aca="false">1/POWER(1+Assumptions!$B$2,AH188)</f>
        <v>0.871284433562695</v>
      </c>
      <c r="AO188" s="0" t="n">
        <f aca="false">IF(ABS(1-AN188)&lt;0.000000000001,AK188,AN188*(1-POWER(AN188,AK188))/(1-AN188))</f>
        <v>2.86813319209759</v>
      </c>
      <c r="AP188" s="1" t="n">
        <f aca="false">AJ188*AM188+Assumptions!$B$28*AO188+(-PV(Assumptions!$B$2,C188,R188+T188+AI188))</f>
        <v>169671.456748969</v>
      </c>
      <c r="AQ188" s="0" t="n">
        <f aca="false">N188*(1+Assumptions!$B$8)</f>
        <v>46666.242</v>
      </c>
      <c r="AR188" s="1" t="n">
        <f aca="false">PMT(Assumptions!$B$5,Assumptions!$B$29,-AQ188)</f>
        <v>1440.70471877515</v>
      </c>
      <c r="AS188" s="0" t="n">
        <f aca="false">MAX(0,AD188-H188)</f>
        <v>84</v>
      </c>
      <c r="AT188" s="0" t="n">
        <f aca="false">MIN(Assumptions!$B$29,AS188)</f>
        <v>36</v>
      </c>
      <c r="AU188" s="0" t="n">
        <f aca="false">IF(AS188&gt;=Assumptions!$B$29,0,-PV(Assumptions!$B$5,Assumptions!$B$29-AS188,AR188))</f>
        <v>0</v>
      </c>
      <c r="AV188" s="1" t="n">
        <f aca="false">(-PV(Assumptions!$B$3,AT188,AR188))/POWER(1+Assumptions!$B$2,AH188)</f>
        <v>42071.5646645558</v>
      </c>
      <c r="AW188" s="1" t="n">
        <f aca="false">-PV(Assumptions!$B$2,AH188,T188+AI188)</f>
        <v>5318.41766002654</v>
      </c>
      <c r="AX188" s="1" t="n">
        <f aca="false">(-PV(Assumptions!$B$2,C188,S188))-(-PV(Assumptions!$B$2,AH188,S188))</f>
        <v>8919.48888629116</v>
      </c>
      <c r="AY188" s="1" t="n">
        <f aca="false">AJ188+AW188+AX188+(-PV(Assumptions!$B$2,C188,R188))+X188-(W188/POWER(1+Assumptions!$B$2,C188))</f>
        <v>52227.2556998842</v>
      </c>
      <c r="AZ188" s="1" t="n">
        <f aca="false">AY188+AV188+(AU188/POWER(1+Assumptions!$B$2,C188))</f>
        <v>94298.82036444</v>
      </c>
      <c r="BA188" s="0" t="n">
        <f aca="false">AQ188/POWER(1+Assumptions!$B$2,AH188)</f>
        <v>40659.5702274696</v>
      </c>
      <c r="BB188" s="1" t="n">
        <f aca="false">AY188+BA188</f>
        <v>92886.8259273538</v>
      </c>
      <c r="BC188" s="1" t="n">
        <f aca="false">AJ188+Assumptions!$B$28/POWER(1+Assumptions!$B$2,AH188)+(-PV(Assumptions!$B$2,AH188,R188+T188+AI188))</f>
        <v>50429.0659240498</v>
      </c>
      <c r="BD188" s="1" t="n">
        <f aca="false">MIN(Z188,AG188,AZ188)</f>
        <v>92605.8044779307</v>
      </c>
      <c r="BE188" s="0" t="str">
        <f aca="false">IF(BD188=Z188,"Cash",IF(BD188=AG188,"Loan","Lease then buy out"))</f>
        <v>Cash</v>
      </c>
    </row>
    <row r="189" customFormat="false" ht="15" hidden="false" customHeight="false" outlineLevel="0" collapsed="false">
      <c r="A189" s="0" t="s">
        <v>43</v>
      </c>
      <c r="B189" s="0" t="s">
        <v>98</v>
      </c>
      <c r="C189" s="0" t="n">
        <v>10</v>
      </c>
      <c r="D189" s="0" t="n">
        <v>0</v>
      </c>
      <c r="E189" s="0" t="n">
        <v>39600</v>
      </c>
      <c r="F189" s="0" t="n">
        <v>3999</v>
      </c>
      <c r="G189" s="0" t="n">
        <v>259</v>
      </c>
      <c r="H189" s="0" t="n">
        <v>36</v>
      </c>
      <c r="I189" s="0" t="n">
        <v>53</v>
      </c>
      <c r="J189" s="0" t="n">
        <v>8400</v>
      </c>
      <c r="K189" s="0" t="s">
        <v>99</v>
      </c>
      <c r="L189" s="0" t="n">
        <v>143.5</v>
      </c>
      <c r="M189" s="0" t="n">
        <f aca="false">MAX(Assumptions!$B$33,Assumptions!$B$30-Assumptions!$B$31*(H189-36)-IF(D189=1,Assumptions!$B$32,0))</f>
        <v>0.57</v>
      </c>
      <c r="N189" s="0" t="n">
        <f aca="false">E189*M189</f>
        <v>22572</v>
      </c>
      <c r="O189" s="0" t="n">
        <f aca="false">1-POWER(J189/E189,0.1)</f>
        <v>0.143635984293751</v>
      </c>
      <c r="P189" s="0" t="n">
        <f aca="false">E189*(1+Assumptions!$B$8)+Assumptions!$B$9</f>
        <v>41980</v>
      </c>
      <c r="Q189" s="0" t="n">
        <f aca="false">IF(D189=1,Assumptions!$B$14*33.7,Assumptions!$B$13)</f>
        <v>3.1</v>
      </c>
      <c r="R189" s="0" t="n">
        <f aca="false">(Assumptions!$B$10/I189)*Q189</f>
        <v>584.905660377359</v>
      </c>
      <c r="S189" s="0" t="n">
        <f aca="false">Assumptions!$B$15+Assumptions!$B$17</f>
        <v>1750</v>
      </c>
      <c r="T189" s="0" t="n">
        <f aca="false">Assumptions!$B$15*(1+Assumptions!$B$16)+Assumptions!$B$17</f>
        <v>1942</v>
      </c>
      <c r="U189" s="0" t="n">
        <f aca="false">IF(OR(C189&gt;Assumptions!$B$11,Assumptions!$B$10*C189&gt;Assumptions!$B$12),1,0)</f>
        <v>0</v>
      </c>
      <c r="V189" s="0" t="n">
        <f aca="false">MAX(0.6,1-Assumptions!$B$22*MAX(0,(Assumptions!$B$10-10000)*C189)/10000)</f>
        <v>1</v>
      </c>
      <c r="W189" s="0" t="n">
        <f aca="false">IF(U189=1,Assumptions!$B$23,MAX(Assumptions!$B$23,E189*POWER(1-O189,C189)*V189))</f>
        <v>8400</v>
      </c>
      <c r="X189" s="0" t="n">
        <f aca="true">SUMPRODUCT((ROW(INDIRECT("1:"&amp;C189))&gt;Assumptions!$B$20)*Assumptions!$B$18*POWER(Assumptions!$B$19,ROW(INDIRECT("1:"&amp;C189))-Assumptions!$B$20-1)*IF(ROW(INDIRECT("1:"&amp;C189))&gt;Assumptions!$B$11,Assumptions!$B$21,1)/POWER(1+Assumptions!$B$2,ROW(INDIRECT("1:"&amp;C189))))</f>
        <v>7070.12417022456</v>
      </c>
      <c r="Y189" s="1" t="n">
        <f aca="false">-PV(Assumptions!$B$2,C189,R189+S189)+X189</f>
        <v>25365.2304594876</v>
      </c>
      <c r="Z189" s="1" t="n">
        <f aca="false">P189+Y189-(W189/POWER(1+Assumptions!$B$2,C189))</f>
        <v>62038.6779103083</v>
      </c>
      <c r="AA189" s="0" t="n">
        <f aca="false">P189*Assumptions!$B$7</f>
        <v>4198</v>
      </c>
      <c r="AB189" s="0" t="n">
        <f aca="false">P189-AA189</f>
        <v>37782</v>
      </c>
      <c r="AC189" s="1" t="n">
        <f aca="false">PMT(Assumptions!$B$5,Assumptions!$B$6,-AB189)</f>
        <v>747.9506399738</v>
      </c>
      <c r="AD189" s="0" t="n">
        <f aca="false">C189*12</f>
        <v>120</v>
      </c>
      <c r="AE189" s="0" t="n">
        <f aca="false">MIN(Assumptions!$B$6,AD189)</f>
        <v>60</v>
      </c>
      <c r="AF189" s="0" t="n">
        <f aca="false">IF(AD189&gt;=Assumptions!$B$6,0,-PV(Assumptions!$B$5,Assumptions!$B$6-AD189,AC189))</f>
        <v>0</v>
      </c>
      <c r="AG189" s="1" t="n">
        <f aca="false">AA189+(-PV(Assumptions!$B$3,AE189,AC189))+Y189-((W189-AF189)/POWER(1+Assumptions!$B$2,C189))</f>
        <v>64181.2366403142</v>
      </c>
      <c r="AH189" s="0" t="n">
        <f aca="false">H189/12</f>
        <v>3</v>
      </c>
      <c r="AI189" s="0" t="n">
        <f aca="false">MAX(0,Assumptions!$B$10-Assumptions!$B$24)*Assumptions!$B$25</f>
        <v>0</v>
      </c>
      <c r="AJ189" s="1" t="n">
        <f aca="false">F189+Assumptions!$B$27+(-PV(Assumptions!$B$3,H189-1,G189))</f>
        <v>13154.6742640917</v>
      </c>
      <c r="AK189" s="0" t="n">
        <f aca="false">CEILING(C189/AH189,1)</f>
        <v>4</v>
      </c>
      <c r="AL189" s="0" t="n">
        <f aca="false">(1+Assumptions!$B$26)/POWER(1+Assumptions!$B$2,AH189)</f>
        <v>0.906135810905202</v>
      </c>
      <c r="AM189" s="0" t="n">
        <f aca="false">IF(ABS(1-AL189)&lt;0.000000000001,AK189,(1-POWER(AL189,AK189))/(1-AL189))</f>
        <v>3.47122982028551</v>
      </c>
      <c r="AN189" s="0" t="n">
        <f aca="false">1/POWER(1+Assumptions!$B$2,AH189)</f>
        <v>0.871284433562695</v>
      </c>
      <c r="AO189" s="0" t="n">
        <f aca="false">IF(ABS(1-AN189)&lt;0.000000000001,AK189,AN189*(1-POWER(AN189,AK189))/(1-AN189))</f>
        <v>2.86813319209759</v>
      </c>
      <c r="AP189" s="1" t="n">
        <f aca="false">AJ189*AM189+Assumptions!$B$28*AO189+(-PV(Assumptions!$B$2,C189,R189+T189+AI189))</f>
        <v>66609.6692818971</v>
      </c>
      <c r="AQ189" s="0" t="n">
        <f aca="false">N189*(1+Assumptions!$B$8)</f>
        <v>23700.6</v>
      </c>
      <c r="AR189" s="1" t="n">
        <f aca="false">PMT(Assumptions!$B$5,Assumptions!$B$29,-AQ189)</f>
        <v>731.69736397035</v>
      </c>
      <c r="AS189" s="0" t="n">
        <f aca="false">MAX(0,AD189-H189)</f>
        <v>84</v>
      </c>
      <c r="AT189" s="0" t="n">
        <f aca="false">MIN(Assumptions!$B$29,AS189)</f>
        <v>36</v>
      </c>
      <c r="AU189" s="0" t="n">
        <f aca="false">IF(AS189&gt;=Assumptions!$B$29,0,-PV(Assumptions!$B$5,Assumptions!$B$29-AS189,AR189))</f>
        <v>0</v>
      </c>
      <c r="AV189" s="1" t="n">
        <f aca="false">(-PV(Assumptions!$B$3,AT189,AR189))/POWER(1+Assumptions!$B$2,AH189)</f>
        <v>21367.0799866158</v>
      </c>
      <c r="AW189" s="1" t="n">
        <f aca="false">-PV(Assumptions!$B$2,AH189,T189+AI189)</f>
        <v>5318.41766002654</v>
      </c>
      <c r="AX189" s="1" t="n">
        <f aca="false">(-PV(Assumptions!$B$2,C189,S189))-(-PV(Assumptions!$B$2,AH189,S189))</f>
        <v>8919.48888629116</v>
      </c>
      <c r="AY189" s="1" t="n">
        <f aca="false">AJ189+AW189+AX189+(-PV(Assumptions!$B$2,C189,R189))+X189-(W189/POWER(1+Assumptions!$B$2,C189))</f>
        <v>33739.1689564417</v>
      </c>
      <c r="AZ189" s="1" t="n">
        <f aca="false">AY189+AV189+(AU189/POWER(1+Assumptions!$B$2,C189))</f>
        <v>55106.2489430575</v>
      </c>
      <c r="BA189" s="0" t="n">
        <f aca="false">AQ189/POWER(1+Assumptions!$B$2,AH189)</f>
        <v>20649.963846096</v>
      </c>
      <c r="BB189" s="1" t="n">
        <f aca="false">AY189+BA189</f>
        <v>54389.1328025377</v>
      </c>
      <c r="BC189" s="1" t="n">
        <f aca="false">AJ189+Assumptions!$B$28/POWER(1+Assumptions!$B$2,AH189)+(-PV(Assumptions!$B$2,AH189,R189+T189+AI189))</f>
        <v>20423.4453440935</v>
      </c>
      <c r="BD189" s="1" t="n">
        <f aca="false">MIN(Z189,AG189,AZ189)</f>
        <v>55106.2489430575</v>
      </c>
      <c r="BE189" s="0" t="str">
        <f aca="false">IF(BD189=Z189,"Cash",IF(BD189=AG189,"Loan","Lease then buy out"))</f>
        <v>Lease then buy out</v>
      </c>
    </row>
    <row r="190" customFormat="false" ht="15" hidden="false" customHeight="false" outlineLevel="0" collapsed="false">
      <c r="A190" s="0" t="s">
        <v>67</v>
      </c>
      <c r="B190" s="0" t="s">
        <v>100</v>
      </c>
      <c r="C190" s="0" t="n">
        <v>10</v>
      </c>
      <c r="D190" s="0" t="n">
        <v>0</v>
      </c>
      <c r="E190" s="0" t="n">
        <v>49945</v>
      </c>
      <c r="F190" s="0" t="n">
        <v>6259</v>
      </c>
      <c r="G190" s="0" t="n">
        <v>299</v>
      </c>
      <c r="H190" s="0" t="n">
        <v>36</v>
      </c>
      <c r="I190" s="0" t="n">
        <v>25</v>
      </c>
      <c r="J190" s="0" t="n">
        <v>15372</v>
      </c>
      <c r="K190" s="0" t="s">
        <v>99</v>
      </c>
      <c r="L190" s="0" t="n">
        <v>174.9</v>
      </c>
      <c r="M190" s="0" t="n">
        <f aca="false">MAX(Assumptions!$B$33,Assumptions!$B$30-Assumptions!$B$31*(H190-36)-IF(D190=1,Assumptions!$B$32,0))</f>
        <v>0.57</v>
      </c>
      <c r="N190" s="0" t="n">
        <f aca="false">E190*M190</f>
        <v>28468.65</v>
      </c>
      <c r="O190" s="0" t="n">
        <f aca="false">1-POWER(J190/E190,0.1)</f>
        <v>0.111159498302309</v>
      </c>
      <c r="P190" s="0" t="n">
        <f aca="false">E190*(1+Assumptions!$B$8)+Assumptions!$B$9</f>
        <v>52842.25</v>
      </c>
      <c r="Q190" s="0" t="n">
        <f aca="false">IF(D190=1,Assumptions!$B$14*33.7,Assumptions!$B$13)</f>
        <v>3.1</v>
      </c>
      <c r="R190" s="0" t="n">
        <f aca="false">(Assumptions!$B$10/I190)*Q190</f>
        <v>1240</v>
      </c>
      <c r="S190" s="0" t="n">
        <f aca="false">Assumptions!$B$15+Assumptions!$B$17</f>
        <v>1750</v>
      </c>
      <c r="T190" s="0" t="n">
        <f aca="false">Assumptions!$B$15*(1+Assumptions!$B$16)+Assumptions!$B$17</f>
        <v>1942</v>
      </c>
      <c r="U190" s="0" t="n">
        <f aca="false">IF(OR(C190&gt;Assumptions!$B$11,Assumptions!$B$10*C190&gt;Assumptions!$B$12),1,0)</f>
        <v>0</v>
      </c>
      <c r="V190" s="0" t="n">
        <f aca="false">MAX(0.6,1-Assumptions!$B$22*MAX(0,(Assumptions!$B$10-10000)*C190)/10000)</f>
        <v>1</v>
      </c>
      <c r="W190" s="0" t="n">
        <f aca="false">IF(U190=1,Assumptions!$B$23,MAX(Assumptions!$B$23,E190*POWER(1-O190,C190)*V190))</f>
        <v>15372</v>
      </c>
      <c r="X190" s="0" t="n">
        <f aca="true">SUMPRODUCT((ROW(INDIRECT("1:"&amp;C190))&gt;Assumptions!$B$20)*Assumptions!$B$18*POWER(Assumptions!$B$19,ROW(INDIRECT("1:"&amp;C190))-Assumptions!$B$20-1)*IF(ROW(INDIRECT("1:"&amp;C190))&gt;Assumptions!$B$11,Assumptions!$B$21,1)/POWER(1+Assumptions!$B$2,ROW(INDIRECT("1:"&amp;C190))))</f>
        <v>7070.12417022456</v>
      </c>
      <c r="Y190" s="1" t="n">
        <f aca="false">-PV(Assumptions!$B$2,C190,R190+S190)+X190</f>
        <v>30498.2089674732</v>
      </c>
      <c r="Z190" s="1" t="n">
        <f aca="false">P190+Y190-(W190/POWER(1+Assumptions!$B$2,C190))</f>
        <v>73629.467802475</v>
      </c>
      <c r="AA190" s="0" t="n">
        <f aca="false">P190*Assumptions!$B$7</f>
        <v>5284.225</v>
      </c>
      <c r="AB190" s="0" t="n">
        <f aca="false">P190-AA190</f>
        <v>47558.025</v>
      </c>
      <c r="AC190" s="1" t="n">
        <f aca="false">PMT(Assumptions!$B$5,Assumptions!$B$6,-AB190)</f>
        <v>941.481531804563</v>
      </c>
      <c r="AD190" s="0" t="n">
        <f aca="false">C190*12</f>
        <v>120</v>
      </c>
      <c r="AE190" s="0" t="n">
        <f aca="false">MIN(Assumptions!$B$6,AD190)</f>
        <v>60</v>
      </c>
      <c r="AF190" s="0" t="n">
        <f aca="false">IF(AD190&gt;=Assumptions!$B$6,0,-PV(Assumptions!$B$5,Assumptions!$B$6-AD190,AC190))</f>
        <v>0</v>
      </c>
      <c r="AG190" s="1" t="n">
        <f aca="false">AA190+(-PV(Assumptions!$B$3,AE190,AC190))+Y190-((W190-AF190)/POWER(1+Assumptions!$B$2,C190))</f>
        <v>76326.4097760494</v>
      </c>
      <c r="AH190" s="0" t="n">
        <f aca="false">H190/12</f>
        <v>3</v>
      </c>
      <c r="AI190" s="0" t="n">
        <f aca="false">MAX(0,Assumptions!$B$10-Assumptions!$B$24)*Assumptions!$B$25</f>
        <v>0</v>
      </c>
      <c r="AJ190" s="1" t="n">
        <f aca="false">F190+Assumptions!$B$27+(-PV(Assumptions!$B$3,H190-1,G190))</f>
        <v>16720.5699033336</v>
      </c>
      <c r="AK190" s="0" t="n">
        <f aca="false">CEILING(C190/AH190,1)</f>
        <v>4</v>
      </c>
      <c r="AL190" s="0" t="n">
        <f aca="false">(1+Assumptions!$B$26)/POWER(1+Assumptions!$B$2,AH190)</f>
        <v>0.906135810905202</v>
      </c>
      <c r="AM190" s="0" t="n">
        <f aca="false">IF(ABS(1-AL190)&lt;0.000000000001,AK190,(1-POWER(AL190,AK190))/(1-AL190))</f>
        <v>3.47122982028551</v>
      </c>
      <c r="AN190" s="0" t="n">
        <f aca="false">1/POWER(1+Assumptions!$B$2,AH190)</f>
        <v>0.871284433562695</v>
      </c>
      <c r="AO190" s="0" t="n">
        <f aca="false">IF(ABS(1-AN190)&lt;0.000000000001,AK190,AN190*(1-POWER(AN190,AK190))/(1-AN190))</f>
        <v>2.86813319209759</v>
      </c>
      <c r="AP190" s="1" t="n">
        <f aca="false">AJ190*AM190+Assumptions!$B$28*AO190+(-PV(Assumptions!$B$2,C190,R190+T190+AI190))</f>
        <v>84120.6910688454</v>
      </c>
      <c r="AQ190" s="0" t="n">
        <f aca="false">N190*(1+Assumptions!$B$8)</f>
        <v>29892.0825</v>
      </c>
      <c r="AR190" s="1" t="n">
        <f aca="false">PMT(Assumptions!$B$5,Assumptions!$B$29,-AQ190)</f>
        <v>922.844061704523</v>
      </c>
      <c r="AS190" s="0" t="n">
        <f aca="false">MAX(0,AD190-H190)</f>
        <v>84</v>
      </c>
      <c r="AT190" s="0" t="n">
        <f aca="false">MIN(Assumptions!$B$29,AS190)</f>
        <v>36</v>
      </c>
      <c r="AU190" s="0" t="n">
        <f aca="false">IF(AS190&gt;=Assumptions!$B$29,0,-PV(Assumptions!$B$5,Assumptions!$B$29-AS190,AR190))</f>
        <v>0</v>
      </c>
      <c r="AV190" s="1" t="n">
        <f aca="false">(-PV(Assumptions!$B$3,AT190,AR190))/POWER(1+Assumptions!$B$2,AH190)</f>
        <v>26948.9598467558</v>
      </c>
      <c r="AW190" s="1" t="n">
        <f aca="false">-PV(Assumptions!$B$2,AH190,T190+AI190)</f>
        <v>5318.41766002654</v>
      </c>
      <c r="AX190" s="1" t="n">
        <f aca="false">(-PV(Assumptions!$B$2,C190,S190))-(-PV(Assumptions!$B$2,AH190,S190))</f>
        <v>8919.48888629116</v>
      </c>
      <c r="AY190" s="1" t="n">
        <f aca="false">AJ190+AW190+AX190+(-PV(Assumptions!$B$2,C190,R190))+X190-(W190/POWER(1+Assumptions!$B$2,C190))</f>
        <v>38033.6044878503</v>
      </c>
      <c r="AZ190" s="1" t="n">
        <f aca="false">AY190+AV190+(AU190/POWER(1+Assumptions!$B$2,C190))</f>
        <v>64982.5643346061</v>
      </c>
      <c r="BA190" s="0" t="n">
        <f aca="false">AQ190/POWER(1+Assumptions!$B$2,AH190)</f>
        <v>26044.5061690218</v>
      </c>
      <c r="BB190" s="1" t="n">
        <f aca="false">AY190+BA190</f>
        <v>64078.1106568722</v>
      </c>
      <c r="BC190" s="1" t="n">
        <f aca="false">AJ190+Assumptions!$B$28/POWER(1+Assumptions!$B$2,AH190)+(-PV(Assumptions!$B$2,AH190,R190+T190+AI190))</f>
        <v>25783.4013874716</v>
      </c>
      <c r="BD190" s="1" t="n">
        <f aca="false">MIN(Z190,AG190,AZ190)</f>
        <v>64982.5643346061</v>
      </c>
      <c r="BE190" s="0" t="str">
        <f aca="false">IF(BD190=Z190,"Cash",IF(BD190=AG190,"Loan","Lease then buy out"))</f>
        <v>Lease then buy out</v>
      </c>
    </row>
    <row r="191" customFormat="false" ht="15" hidden="false" customHeight="false" outlineLevel="0" collapsed="false">
      <c r="A191" s="0" t="s">
        <v>43</v>
      </c>
      <c r="B191" s="0" t="s">
        <v>101</v>
      </c>
      <c r="C191" s="0" t="n">
        <v>10</v>
      </c>
      <c r="D191" s="0" t="n">
        <v>1</v>
      </c>
      <c r="E191" s="0" t="n">
        <v>42600</v>
      </c>
      <c r="F191" s="0" t="n">
        <v>4499</v>
      </c>
      <c r="G191" s="0" t="n">
        <v>319</v>
      </c>
      <c r="H191" s="0" t="n">
        <v>36</v>
      </c>
      <c r="I191" s="0" t="n">
        <v>117</v>
      </c>
      <c r="J191" s="0" t="n">
        <v>8897</v>
      </c>
      <c r="K191" s="0" t="s">
        <v>99</v>
      </c>
      <c r="L191" s="0" t="n">
        <v>148.2</v>
      </c>
      <c r="M191" s="0" t="n">
        <f aca="false">MAX(Assumptions!$B$33,Assumptions!$B$30-Assumptions!$B$31*(H191-36)-IF(D191=1,Assumptions!$B$32,0))</f>
        <v>0.49</v>
      </c>
      <c r="N191" s="0" t="n">
        <f aca="false">E191*M191</f>
        <v>20874</v>
      </c>
      <c r="O191" s="0" t="n">
        <f aca="false">1-POWER(J191/E191,0.1)</f>
        <v>0.144965971311141</v>
      </c>
      <c r="P191" s="0" t="n">
        <f aca="false">E191*(1+Assumptions!$B$8)+Assumptions!$B$9</f>
        <v>45130</v>
      </c>
      <c r="Q191" s="0" t="n">
        <f aca="false">IF(D191=1,Assumptions!$B$14*33.7,Assumptions!$B$13)</f>
        <v>5.729</v>
      </c>
      <c r="R191" s="0" t="n">
        <f aca="false">(Assumptions!$B$10/I191)*Q191</f>
        <v>489.65811965812</v>
      </c>
      <c r="S191" s="0" t="n">
        <f aca="false">Assumptions!$B$15+Assumptions!$B$17</f>
        <v>1750</v>
      </c>
      <c r="T191" s="0" t="n">
        <f aca="false">Assumptions!$B$15*(1+Assumptions!$B$16)+Assumptions!$B$17</f>
        <v>1942</v>
      </c>
      <c r="U191" s="0" t="n">
        <f aca="false">IF(OR(C191&gt;Assumptions!$B$11,Assumptions!$B$10*C191&gt;Assumptions!$B$12),1,0)</f>
        <v>0</v>
      </c>
      <c r="V191" s="0" t="n">
        <f aca="false">MAX(0.6,1-Assumptions!$B$22*MAX(0,(Assumptions!$B$10-10000)*C191)/10000)</f>
        <v>1</v>
      </c>
      <c r="W191" s="0" t="n">
        <f aca="false">IF(U191=1,Assumptions!$B$23,MAX(Assumptions!$B$23,E191*POWER(1-O191,C191)*V191))</f>
        <v>8897</v>
      </c>
      <c r="X191" s="0" t="n">
        <f aca="true">SUMPRODUCT((ROW(INDIRECT("1:"&amp;C191))&gt;Assumptions!$B$20)*Assumptions!$B$18*POWER(Assumptions!$B$19,ROW(INDIRECT("1:"&amp;C191))-Assumptions!$B$20-1)*IF(ROW(INDIRECT("1:"&amp;C191))&gt;Assumptions!$B$11,Assumptions!$B$21,1)/POWER(1+Assumptions!$B$2,ROW(INDIRECT("1:"&amp;C191))))</f>
        <v>7070.12417022456</v>
      </c>
      <c r="Y191" s="1" t="n">
        <f aca="false">-PV(Assumptions!$B$2,C191,R191+S191)+X191</f>
        <v>24618.9202719626</v>
      </c>
      <c r="Z191" s="1" t="n">
        <f aca="false">P191+Y191-(W191/POWER(1+Assumptions!$B$2,C191))</f>
        <v>64128.3966969568</v>
      </c>
      <c r="AA191" s="0" t="n">
        <f aca="false">P191*Assumptions!$B$7</f>
        <v>4513</v>
      </c>
      <c r="AB191" s="0" t="n">
        <f aca="false">P191-AA191</f>
        <v>40617</v>
      </c>
      <c r="AC191" s="1" t="n">
        <f aca="false">PMT(Assumptions!$B$5,Assumptions!$B$6,-AB191)</f>
        <v>804.073663221</v>
      </c>
      <c r="AD191" s="0" t="n">
        <f aca="false">C191*12</f>
        <v>120</v>
      </c>
      <c r="AE191" s="0" t="n">
        <f aca="false">MIN(Assumptions!$B$6,AD191)</f>
        <v>60</v>
      </c>
      <c r="AF191" s="0" t="n">
        <f aca="false">IF(AD191&gt;=Assumptions!$B$6,0,-PV(Assumptions!$B$5,Assumptions!$B$6-AD191,AC191))</f>
        <v>0</v>
      </c>
      <c r="AG191" s="1" t="n">
        <f aca="false">AA191+(-PV(Assumptions!$B$3,AE191,AC191))+Y191-((W191-AF191)/POWER(1+Assumptions!$B$2,C191))</f>
        <v>66431.7238881233</v>
      </c>
      <c r="AH191" s="0" t="n">
        <f aca="false">H191/12</f>
        <v>3</v>
      </c>
      <c r="AI191" s="0" t="n">
        <f aca="false">MAX(0,Assumptions!$B$10-Assumptions!$B$24)*Assumptions!$B$25</f>
        <v>0</v>
      </c>
      <c r="AJ191" s="1" t="n">
        <f aca="false">F191+Assumptions!$B$27+(-PV(Assumptions!$B$3,H191-1,G191))</f>
        <v>15613.5177229546</v>
      </c>
      <c r="AK191" s="0" t="n">
        <f aca="false">CEILING(C191/AH191,1)</f>
        <v>4</v>
      </c>
      <c r="AL191" s="0" t="n">
        <f aca="false">(1+Assumptions!$B$26)/POWER(1+Assumptions!$B$2,AH191)</f>
        <v>0.906135810905202</v>
      </c>
      <c r="AM191" s="0" t="n">
        <f aca="false">IF(ABS(1-AL191)&lt;0.000000000001,AK191,(1-POWER(AL191,AK191))/(1-AL191))</f>
        <v>3.47122982028551</v>
      </c>
      <c r="AN191" s="0" t="n">
        <f aca="false">1/POWER(1+Assumptions!$B$2,AH191)</f>
        <v>0.871284433562695</v>
      </c>
      <c r="AO191" s="0" t="n">
        <f aca="false">IF(ABS(1-AN191)&lt;0.000000000001,AK191,AN191*(1-POWER(AN191,AK191))/(1-AN191))</f>
        <v>2.86813319209759</v>
      </c>
      <c r="AP191" s="1" t="n">
        <f aca="false">AJ191*AM191+Assumptions!$B$28*AO191+(-PV(Assumptions!$B$2,C191,R191+T191+AI191))</f>
        <v>74398.5698321911</v>
      </c>
      <c r="AQ191" s="0" t="n">
        <f aca="false">N191*(1+Assumptions!$B$8)</f>
        <v>21917.7</v>
      </c>
      <c r="AR191" s="1" t="n">
        <f aca="false">PMT(Assumptions!$B$5,Assumptions!$B$29,-AQ191)</f>
        <v>676.65473930166</v>
      </c>
      <c r="AS191" s="0" t="n">
        <f aca="false">MAX(0,AD191-H191)</f>
        <v>84</v>
      </c>
      <c r="AT191" s="0" t="n">
        <f aca="false">MIN(Assumptions!$B$29,AS191)</f>
        <v>36</v>
      </c>
      <c r="AU191" s="0" t="n">
        <f aca="false">IF(AS191&gt;=Assumptions!$B$29,0,-PV(Assumptions!$B$5,Assumptions!$B$29-AS191,AR191))</f>
        <v>0</v>
      </c>
      <c r="AV191" s="1" t="n">
        <f aca="false">(-PV(Assumptions!$B$3,AT191,AR191))/POWER(1+Assumptions!$B$2,AH191)</f>
        <v>19759.7212316418</v>
      </c>
      <c r="AW191" s="1" t="n">
        <f aca="false">-PV(Assumptions!$B$2,AH191,T191+AI191)</f>
        <v>5318.41766002654</v>
      </c>
      <c r="AX191" s="1" t="n">
        <f aca="false">(-PV(Assumptions!$B$2,C191,S191))-(-PV(Assumptions!$B$2,AH191,S191))</f>
        <v>8919.48888629116</v>
      </c>
      <c r="AY191" s="1" t="n">
        <f aca="false">AJ191+AW191+AX191+(-PV(Assumptions!$B$2,C191,R191))+X191-(W191/POWER(1+Assumptions!$B$2,C191))</f>
        <v>35137.7312019532</v>
      </c>
      <c r="AZ191" s="1" t="n">
        <f aca="false">AY191+AV191+(AU191/POWER(1+Assumptions!$B$2,C191))</f>
        <v>54897.452433595</v>
      </c>
      <c r="BA191" s="0" t="n">
        <f aca="false">AQ191/POWER(1+Assumptions!$B$2,AH191)</f>
        <v>19096.5508294971</v>
      </c>
      <c r="BB191" s="1" t="n">
        <f aca="false">AY191+BA191</f>
        <v>54234.2820314502</v>
      </c>
      <c r="BC191" s="1" t="n">
        <f aca="false">AJ191+Assumptions!$B$28/POWER(1+Assumptions!$B$2,AH191)+(-PV(Assumptions!$B$2,AH191,R191+T191+AI191))</f>
        <v>22621.4411187981</v>
      </c>
      <c r="BD191" s="1" t="n">
        <f aca="false">MIN(Z191,AG191,AZ191)</f>
        <v>54897.452433595</v>
      </c>
      <c r="BE191" s="0" t="str">
        <f aca="false">IF(BD191=Z191,"Cash",IF(BD191=AG191,"Loan","Lease then buy out"))</f>
        <v>Lease then buy out</v>
      </c>
    </row>
    <row r="192" customFormat="false" ht="15" hidden="false" customHeight="false" outlineLevel="0" collapsed="false">
      <c r="A192" s="0" t="s">
        <v>67</v>
      </c>
      <c r="B192" s="0" t="s">
        <v>102</v>
      </c>
      <c r="C192" s="0" t="n">
        <v>10</v>
      </c>
      <c r="D192" s="0" t="n">
        <v>0</v>
      </c>
      <c r="E192" s="0" t="n">
        <v>24995</v>
      </c>
      <c r="F192" s="0" t="n">
        <v>4499</v>
      </c>
      <c r="G192" s="0" t="n">
        <v>179</v>
      </c>
      <c r="H192" s="0" t="n">
        <v>36</v>
      </c>
      <c r="I192" s="0" t="n">
        <v>26</v>
      </c>
      <c r="J192" s="0" t="n">
        <v>9787</v>
      </c>
      <c r="K192" s="0" t="s">
        <v>99</v>
      </c>
      <c r="L192" s="0" t="n">
        <v>115.1</v>
      </c>
      <c r="M192" s="0" t="n">
        <f aca="false">MAX(Assumptions!$B$33,Assumptions!$B$30-Assumptions!$B$31*(H192-36)-IF(D192=1,Assumptions!$B$32,0))</f>
        <v>0.57</v>
      </c>
      <c r="N192" s="0" t="n">
        <f aca="false">E192*M192</f>
        <v>14247.15</v>
      </c>
      <c r="O192" s="0" t="n">
        <f aca="false">1-POWER(J192/E192,0.1)</f>
        <v>0.0895006402886055</v>
      </c>
      <c r="P192" s="0" t="n">
        <f aca="false">E192*(1+Assumptions!$B$8)+Assumptions!$B$9</f>
        <v>26644.75</v>
      </c>
      <c r="Q192" s="0" t="n">
        <f aca="false">IF(D192=1,Assumptions!$B$14*33.7,Assumptions!$B$13)</f>
        <v>3.1</v>
      </c>
      <c r="R192" s="0" t="n">
        <f aca="false">(Assumptions!$B$10/I192)*Q192</f>
        <v>1192.30769230769</v>
      </c>
      <c r="S192" s="0" t="n">
        <f aca="false">Assumptions!$B$15+Assumptions!$B$17</f>
        <v>1750</v>
      </c>
      <c r="T192" s="0" t="n">
        <f aca="false">Assumptions!$B$15*(1+Assumptions!$B$16)+Assumptions!$B$17</f>
        <v>1942</v>
      </c>
      <c r="U192" s="0" t="n">
        <f aca="false">IF(OR(C192&gt;Assumptions!$B$11,Assumptions!$B$10*C192&gt;Assumptions!$B$12),1,0)</f>
        <v>0</v>
      </c>
      <c r="V192" s="0" t="n">
        <f aca="false">MAX(0.6,1-Assumptions!$B$22*MAX(0,(Assumptions!$B$10-10000)*C192)/10000)</f>
        <v>1</v>
      </c>
      <c r="W192" s="0" t="n">
        <f aca="false">IF(U192=1,Assumptions!$B$23,MAX(Assumptions!$B$23,E192*POWER(1-O192,C192)*V192))</f>
        <v>9787</v>
      </c>
      <c r="X192" s="0" t="n">
        <f aca="true">SUMPRODUCT((ROW(INDIRECT("1:"&amp;C192))&gt;Assumptions!$B$20)*Assumptions!$B$18*POWER(Assumptions!$B$19,ROW(INDIRECT("1:"&amp;C192))-Assumptions!$B$20-1)*IF(ROW(INDIRECT("1:"&amp;C192))&gt;Assumptions!$B$11,Assumptions!$B$21,1)/POWER(1+Assumptions!$B$2,ROW(INDIRECT("1:"&amp;C192))))</f>
        <v>7070.12417022456</v>
      </c>
      <c r="Y192" s="1" t="n">
        <f aca="false">-PV(Assumptions!$B$2,C192,R192+S192)+X192</f>
        <v>30124.5168508204</v>
      </c>
      <c r="Z192" s="1" t="n">
        <f aca="false">P192+Y192-(W192/POWER(1+Assumptions!$B$2,C192))</f>
        <v>50586.5013985801</v>
      </c>
      <c r="AA192" s="0" t="n">
        <f aca="false">P192*Assumptions!$B$7</f>
        <v>2664.475</v>
      </c>
      <c r="AB192" s="0" t="n">
        <f aca="false">P192-AA192</f>
        <v>23980.275</v>
      </c>
      <c r="AC192" s="1" t="n">
        <f aca="false">PMT(Assumptions!$B$5,Assumptions!$B$6,-AB192)</f>
        <v>474.725055132013</v>
      </c>
      <c r="AD192" s="0" t="n">
        <f aca="false">C192*12</f>
        <v>120</v>
      </c>
      <c r="AE192" s="0" t="n">
        <f aca="false">MIN(Assumptions!$B$6,AD192)</f>
        <v>60</v>
      </c>
      <c r="AF192" s="0" t="n">
        <f aca="false">IF(AD192&gt;=Assumptions!$B$6,0,-PV(Assumptions!$B$5,Assumptions!$B$6-AD192,AC192))</f>
        <v>0</v>
      </c>
      <c r="AG192" s="1" t="n">
        <f aca="false">AA192+(-PV(Assumptions!$B$3,AE192,AC192))+Y192-((W192-AF192)/POWER(1+Assumptions!$B$2,C192))</f>
        <v>51946.3856701696</v>
      </c>
      <c r="AH192" s="0" t="n">
        <f aca="false">H192/12</f>
        <v>3</v>
      </c>
      <c r="AI192" s="0" t="n">
        <f aca="false">MAX(0,Assumptions!$B$10-Assumptions!$B$24)*Assumptions!$B$25</f>
        <v>0</v>
      </c>
      <c r="AJ192" s="1" t="n">
        <f aca="false">F192+Assumptions!$B$27+(-PV(Assumptions!$B$3,H192-1,G192))</f>
        <v>11042.8829856078</v>
      </c>
      <c r="AK192" s="0" t="n">
        <f aca="false">CEILING(C192/AH192,1)</f>
        <v>4</v>
      </c>
      <c r="AL192" s="0" t="n">
        <f aca="false">(1+Assumptions!$B$26)/POWER(1+Assumptions!$B$2,AH192)</f>
        <v>0.906135810905202</v>
      </c>
      <c r="AM192" s="0" t="n">
        <f aca="false">IF(ABS(1-AL192)&lt;0.000000000001,AK192,(1-POWER(AL192,AK192))/(1-AL192))</f>
        <v>3.47122982028551</v>
      </c>
      <c r="AN192" s="0" t="n">
        <f aca="false">1/POWER(1+Assumptions!$B$2,AH192)</f>
        <v>0.871284433562695</v>
      </c>
      <c r="AO192" s="0" t="n">
        <f aca="false">IF(ABS(1-AN192)&lt;0.000000000001,AK192,AN192*(1-POWER(AN192,AK192))/(1-AN192))</f>
        <v>2.86813319209759</v>
      </c>
      <c r="AP192" s="1" t="n">
        <f aca="false">AJ192*AM192+Assumptions!$B$28*AO192+(-PV(Assumptions!$B$2,C192,R192+T192+AI192))</f>
        <v>64038.4428131377</v>
      </c>
      <c r="AQ192" s="0" t="n">
        <f aca="false">N192*(1+Assumptions!$B$8)</f>
        <v>14959.5075</v>
      </c>
      <c r="AR192" s="1" t="n">
        <f aca="false">PMT(Assumptions!$B$5,Assumptions!$B$29,-AQ192)</f>
        <v>461.837767990881</v>
      </c>
      <c r="AS192" s="0" t="n">
        <f aca="false">MAX(0,AD192-H192)</f>
        <v>84</v>
      </c>
      <c r="AT192" s="0" t="n">
        <f aca="false">MIN(Assumptions!$B$29,AS192)</f>
        <v>36</v>
      </c>
      <c r="AU192" s="0" t="n">
        <f aca="false">IF(AS192&gt;=Assumptions!$B$29,0,-PV(Assumptions!$B$5,Assumptions!$B$29-AS192,AR192))</f>
        <v>0</v>
      </c>
      <c r="AV192" s="1" t="n">
        <f aca="false">(-PV(Assumptions!$B$3,AT192,AR192))/POWER(1+Assumptions!$B$2,AH192)</f>
        <v>13486.6203097339</v>
      </c>
      <c r="AW192" s="1" t="n">
        <f aca="false">-PV(Assumptions!$B$2,AH192,T192+AI192)</f>
        <v>5318.41766002654</v>
      </c>
      <c r="AX192" s="1" t="n">
        <f aca="false">(-PV(Assumptions!$B$2,C192,S192))-(-PV(Assumptions!$B$2,AH192,S192))</f>
        <v>8919.48888629116</v>
      </c>
      <c r="AY192" s="1" t="n">
        <f aca="false">AJ192+AW192+AX192+(-PV(Assumptions!$B$2,C192,R192))+X192-(W192/POWER(1+Assumptions!$B$2,C192))</f>
        <v>35510.4511662296</v>
      </c>
      <c r="AZ192" s="1" t="n">
        <f aca="false">AY192+AV192+(AU192/POWER(1+Assumptions!$B$2,C192))</f>
        <v>48997.0714759635</v>
      </c>
      <c r="BA192" s="0" t="n">
        <f aca="false">AQ192/POWER(1+Assumptions!$B$2,AH192)</f>
        <v>13033.9860185144</v>
      </c>
      <c r="BB192" s="1" t="n">
        <f aca="false">AY192+BA192</f>
        <v>48544.437184744</v>
      </c>
      <c r="BC192" s="1" t="n">
        <f aca="false">AJ192+Assumptions!$B$28/POWER(1+Assumptions!$B$2,AH192)+(-PV(Assumptions!$B$2,AH192,R192+T192+AI192))</f>
        <v>19975.1029293347</v>
      </c>
      <c r="BD192" s="1" t="n">
        <f aca="false">MIN(Z192,AG192,AZ192)</f>
        <v>48997.0714759635</v>
      </c>
      <c r="BE192" s="0" t="str">
        <f aca="false">IF(BD192=Z192,"Cash",IF(BD192=AG192,"Loan","Lease then buy out"))</f>
        <v>Lease then buy out</v>
      </c>
    </row>
    <row r="193" customFormat="false" ht="15" hidden="false" customHeight="false" outlineLevel="0" collapsed="false">
      <c r="A193" s="0" t="s">
        <v>103</v>
      </c>
      <c r="B193" s="0" t="s">
        <v>104</v>
      </c>
      <c r="C193" s="0" t="n">
        <v>10</v>
      </c>
      <c r="D193" s="0" t="n">
        <v>0</v>
      </c>
      <c r="E193" s="0" t="n">
        <v>38800</v>
      </c>
      <c r="F193" s="0" t="n">
        <v>3999</v>
      </c>
      <c r="G193" s="0" t="n">
        <v>379</v>
      </c>
      <c r="H193" s="0" t="n">
        <v>36</v>
      </c>
      <c r="I193" s="0" t="n">
        <v>24</v>
      </c>
      <c r="J193" s="0" t="n">
        <v>14420</v>
      </c>
      <c r="K193" s="0" t="s">
        <v>99</v>
      </c>
      <c r="L193" s="0" t="n">
        <v>100.3</v>
      </c>
      <c r="M193" s="0" t="n">
        <f aca="false">MAX(Assumptions!$B$33,Assumptions!$B$30-Assumptions!$B$31*(H193-36)-IF(D193=1,Assumptions!$B$32,0))</f>
        <v>0.57</v>
      </c>
      <c r="N193" s="0" t="n">
        <f aca="false">E193*M193</f>
        <v>22116</v>
      </c>
      <c r="O193" s="0" t="n">
        <f aca="false">1-POWER(J193/E193,0.1)</f>
        <v>0.0942395496410304</v>
      </c>
      <c r="P193" s="0" t="n">
        <f aca="false">E193*(1+Assumptions!$B$8)+Assumptions!$B$9</f>
        <v>41140</v>
      </c>
      <c r="Q193" s="0" t="n">
        <f aca="false">IF(D193=1,Assumptions!$B$14*33.7,Assumptions!$B$13)</f>
        <v>3.1</v>
      </c>
      <c r="R193" s="0" t="n">
        <f aca="false">(Assumptions!$B$10/I193)*Q193</f>
        <v>1291.66666666667</v>
      </c>
      <c r="S193" s="0" t="n">
        <f aca="false">Assumptions!$B$15+Assumptions!$B$17</f>
        <v>1750</v>
      </c>
      <c r="T193" s="0" t="n">
        <f aca="false">Assumptions!$B$15*(1+Assumptions!$B$16)+Assumptions!$B$17</f>
        <v>1942</v>
      </c>
      <c r="U193" s="0" t="n">
        <f aca="false">IF(OR(C193&gt;Assumptions!$B$11,Assumptions!$B$10*C193&gt;Assumptions!$B$12),1,0)</f>
        <v>0</v>
      </c>
      <c r="V193" s="0" t="n">
        <f aca="false">MAX(0.6,1-Assumptions!$B$22*MAX(0,(Assumptions!$B$10-10000)*C193)/10000)</f>
        <v>1</v>
      </c>
      <c r="W193" s="0" t="n">
        <f aca="false">IF(U193=1,Assumptions!$B$23,MAX(Assumptions!$B$23,E193*POWER(1-O193,C193)*V193))</f>
        <v>14420</v>
      </c>
      <c r="X193" s="0" t="n">
        <f aca="true">SUMPRODUCT((ROW(INDIRECT("1:"&amp;C193))&gt;Assumptions!$B$20)*Assumptions!$B$18*POWER(Assumptions!$B$19,ROW(INDIRECT("1:"&amp;C193))-Assumptions!$B$20-1)*IF(ROW(INDIRECT("1:"&amp;C193))&gt;Assumptions!$B$11,Assumptions!$B$21,1)/POWER(1+Assumptions!$B$2,ROW(INDIRECT("1:"&amp;C193))))</f>
        <v>7070.12417022456</v>
      </c>
      <c r="Y193" s="1" t="n">
        <f aca="false">-PV(Assumptions!$B$2,C193,R193+S193)+X193</f>
        <v>30903.042093847</v>
      </c>
      <c r="Z193" s="1" t="n">
        <f aca="false">P193+Y193-(W193/POWER(1+Assumptions!$B$2,C193))</f>
        <v>62933.4602177558</v>
      </c>
      <c r="AA193" s="0" t="n">
        <f aca="false">P193*Assumptions!$B$7</f>
        <v>4114</v>
      </c>
      <c r="AB193" s="0" t="n">
        <f aca="false">P193-AA193</f>
        <v>37026</v>
      </c>
      <c r="AC193" s="1" t="n">
        <f aca="false">PMT(Assumptions!$B$5,Assumptions!$B$6,-AB193)</f>
        <v>732.984500441213</v>
      </c>
      <c r="AD193" s="0" t="n">
        <f aca="false">C193*12</f>
        <v>120</v>
      </c>
      <c r="AE193" s="0" t="n">
        <f aca="false">MIN(Assumptions!$B$6,AD193)</f>
        <v>60</v>
      </c>
      <c r="AF193" s="0" t="n">
        <f aca="false">IF(AD193&gt;=Assumptions!$B$6,0,-PV(Assumptions!$B$5,Assumptions!$B$6-AD193,AC193))</f>
        <v>0</v>
      </c>
      <c r="AG193" s="1" t="n">
        <f aca="false">AA193+(-PV(Assumptions!$B$3,AE193,AC193))+Y193-((W193-AF193)/POWER(1+Assumptions!$B$2,C193))</f>
        <v>65033.147358119</v>
      </c>
      <c r="AH193" s="0" t="n">
        <f aca="false">H193/12</f>
        <v>3</v>
      </c>
      <c r="AI193" s="0" t="n">
        <f aca="false">MAX(0,Assumptions!$B$10-Assumptions!$B$24)*Assumptions!$B$25</f>
        <v>0</v>
      </c>
      <c r="AJ193" s="1" t="n">
        <f aca="false">F193+Assumptions!$B$27+(-PV(Assumptions!$B$3,H193-1,G193))</f>
        <v>17072.3611818175</v>
      </c>
      <c r="AK193" s="0" t="n">
        <f aca="false">CEILING(C193/AH193,1)</f>
        <v>4</v>
      </c>
      <c r="AL193" s="0" t="n">
        <f aca="false">(1+Assumptions!$B$26)/POWER(1+Assumptions!$B$2,AH193)</f>
        <v>0.906135810905202</v>
      </c>
      <c r="AM193" s="0" t="n">
        <f aca="false">IF(ABS(1-AL193)&lt;0.000000000001,AK193,(1-POWER(AL193,AK193))/(1-AL193))</f>
        <v>3.47122982028551</v>
      </c>
      <c r="AN193" s="0" t="n">
        <f aca="false">1/POWER(1+Assumptions!$B$2,AH193)</f>
        <v>0.871284433562695</v>
      </c>
      <c r="AO193" s="0" t="n">
        <f aca="false">IF(ABS(1-AN193)&lt;0.000000000001,AK193,AN193*(1-POWER(AN193,AK193))/(1-AN193))</f>
        <v>2.86813319209759</v>
      </c>
      <c r="AP193" s="1" t="n">
        <f aca="false">AJ193*AM193+Assumptions!$B$28*AO193+(-PV(Assumptions!$B$2,C193,R193+T193+AI193))</f>
        <v>85746.672571609</v>
      </c>
      <c r="AQ193" s="0" t="n">
        <f aca="false">N193*(1+Assumptions!$B$8)</f>
        <v>23221.8</v>
      </c>
      <c r="AR193" s="1" t="n">
        <f aca="false">PMT(Assumptions!$B$5,Assumptions!$B$29,-AQ193)</f>
        <v>716.915599041655</v>
      </c>
      <c r="AS193" s="0" t="n">
        <f aca="false">MAX(0,AD193-H193)</f>
        <v>84</v>
      </c>
      <c r="AT193" s="0" t="n">
        <f aca="false">MIN(Assumptions!$B$29,AS193)</f>
        <v>36</v>
      </c>
      <c r="AU193" s="0" t="n">
        <f aca="false">IF(AS193&gt;=Assumptions!$B$29,0,-PV(Assumptions!$B$5,Assumptions!$B$29-AS193,AR193))</f>
        <v>0</v>
      </c>
      <c r="AV193" s="1" t="n">
        <f aca="false">(-PV(Assumptions!$B$3,AT193,AR193))/POWER(1+Assumptions!$B$2,AH193)</f>
        <v>20935.421805068</v>
      </c>
      <c r="AW193" s="1" t="n">
        <f aca="false">-PV(Assumptions!$B$2,AH193,T193+AI193)</f>
        <v>5318.41766002654</v>
      </c>
      <c r="AX193" s="1" t="n">
        <f aca="false">(-PV(Assumptions!$B$2,C193,S193))-(-PV(Assumptions!$B$2,AH193,S193))</f>
        <v>8919.48888629116</v>
      </c>
      <c r="AY193" s="1" t="n">
        <f aca="false">AJ193+AW193+AX193+(-PV(Assumptions!$B$2,C193,R193))+X193-(W193/POWER(1+Assumptions!$B$2,C193))</f>
        <v>39391.6381816151</v>
      </c>
      <c r="AZ193" s="1" t="n">
        <f aca="false">AY193+AV193+(AU193/POWER(1+Assumptions!$B$2,C193))</f>
        <v>60327.0599866832</v>
      </c>
      <c r="BA193" s="0" t="n">
        <f aca="false">AQ193/POWER(1+Assumptions!$B$2,AH193)</f>
        <v>20232.7928593062</v>
      </c>
      <c r="BB193" s="1" t="n">
        <f aca="false">AY193+BA193</f>
        <v>59624.4310409213</v>
      </c>
      <c r="BC193" s="1" t="n">
        <f aca="false">AJ193+Assumptions!$B$28/POWER(1+Assumptions!$B$2,AH193)+(-PV(Assumptions!$B$2,AH193,R193+T193+AI193))</f>
        <v>26276.6885014008</v>
      </c>
      <c r="BD193" s="1" t="n">
        <f aca="false">MIN(Z193,AG193,AZ193)</f>
        <v>60327.0599866832</v>
      </c>
      <c r="BE193" s="0" t="str">
        <f aca="false">IF(BD193=Z193,"Cash",IF(BD193=AG193,"Loan","Lease then buy out"))</f>
        <v>Lease then buy out</v>
      </c>
    </row>
    <row r="194" customFormat="false" ht="15" hidden="false" customHeight="false" outlineLevel="0" collapsed="false">
      <c r="A194" s="0" t="s">
        <v>105</v>
      </c>
      <c r="B194" s="0" t="s">
        <v>106</v>
      </c>
      <c r="C194" s="0" t="n">
        <v>10</v>
      </c>
      <c r="D194" s="0" t="n">
        <v>0</v>
      </c>
      <c r="E194" s="0" t="n">
        <v>41330</v>
      </c>
      <c r="F194" s="0" t="n">
        <v>2951</v>
      </c>
      <c r="G194" s="0" t="n">
        <v>451</v>
      </c>
      <c r="H194" s="0" t="n">
        <v>36</v>
      </c>
      <c r="I194" s="0" t="n">
        <v>24</v>
      </c>
      <c r="J194" s="0" t="n">
        <v>11099</v>
      </c>
      <c r="K194" s="0" t="s">
        <v>107</v>
      </c>
      <c r="L194" s="0" t="n">
        <v>154.9</v>
      </c>
      <c r="M194" s="0" t="n">
        <f aca="false">MAX(Assumptions!$B$33,Assumptions!$B$30-Assumptions!$B$31*(H194-36)-IF(D194=1,Assumptions!$B$32,0))</f>
        <v>0.57</v>
      </c>
      <c r="N194" s="0" t="n">
        <f aca="false">E194*M194</f>
        <v>23558.1</v>
      </c>
      <c r="O194" s="0" t="n">
        <f aca="false">1-POWER(J194/E194,0.1)</f>
        <v>0.123197368409735</v>
      </c>
      <c r="P194" s="0" t="n">
        <f aca="false">E194*(1+Assumptions!$B$8)+Assumptions!$B$9</f>
        <v>43796.5</v>
      </c>
      <c r="Q194" s="0" t="n">
        <f aca="false">IF(D194=1,Assumptions!$B$14*33.7,Assumptions!$B$13)</f>
        <v>3.1</v>
      </c>
      <c r="R194" s="0" t="n">
        <f aca="false">(Assumptions!$B$10/I194)*Q194</f>
        <v>1291.66666666667</v>
      </c>
      <c r="S194" s="0" t="n">
        <f aca="false">Assumptions!$B$15+Assumptions!$B$17</f>
        <v>1750</v>
      </c>
      <c r="T194" s="0" t="n">
        <f aca="false">Assumptions!$B$15*(1+Assumptions!$B$16)+Assumptions!$B$17</f>
        <v>1942</v>
      </c>
      <c r="U194" s="0" t="n">
        <f aca="false">IF(OR(C194&gt;Assumptions!$B$11,Assumptions!$B$10*C194&gt;Assumptions!$B$12),1,0)</f>
        <v>0</v>
      </c>
      <c r="V194" s="0" t="n">
        <f aca="false">MAX(0.6,1-Assumptions!$B$22*MAX(0,(Assumptions!$B$10-10000)*C194)/10000)</f>
        <v>1</v>
      </c>
      <c r="W194" s="0" t="n">
        <f aca="false">IF(U194=1,Assumptions!$B$23,MAX(Assumptions!$B$23,E194*POWER(1-O194,C194)*V194))</f>
        <v>11099</v>
      </c>
      <c r="X194" s="0" t="n">
        <f aca="true">SUMPRODUCT((ROW(INDIRECT("1:"&amp;C194))&gt;Assumptions!$B$20)*Assumptions!$B$18*POWER(Assumptions!$B$19,ROW(INDIRECT("1:"&amp;C194))-Assumptions!$B$20-1)*IF(ROW(INDIRECT("1:"&amp;C194))&gt;Assumptions!$B$11,Assumptions!$B$21,1)/POWER(1+Assumptions!$B$2,ROW(INDIRECT("1:"&amp;C194))))</f>
        <v>7070.12417022456</v>
      </c>
      <c r="Y194" s="1" t="n">
        <f aca="false">-PV(Assumptions!$B$2,C194,R194+S194)+X194</f>
        <v>30903.042093847</v>
      </c>
      <c r="Z194" s="1" t="n">
        <f aca="false">P194+Y194-(W194/POWER(1+Assumptions!$B$2,C194))</f>
        <v>67687.9436720207</v>
      </c>
      <c r="AA194" s="0" t="n">
        <f aca="false">P194*Assumptions!$B$7</f>
        <v>4379.65</v>
      </c>
      <c r="AB194" s="0" t="n">
        <f aca="false">P194-AA194</f>
        <v>39416.85</v>
      </c>
      <c r="AC194" s="1" t="n">
        <f aca="false">PMT(Assumptions!$B$5,Assumptions!$B$6,-AB194)</f>
        <v>780.314916713019</v>
      </c>
      <c r="AD194" s="0" t="n">
        <f aca="false">C194*12</f>
        <v>120</v>
      </c>
      <c r="AE194" s="0" t="n">
        <f aca="false">MIN(Assumptions!$B$6,AD194)</f>
        <v>60</v>
      </c>
      <c r="AF194" s="0" t="n">
        <f aca="false">IF(AD194&gt;=Assumptions!$B$6,0,-PV(Assumptions!$B$5,Assumptions!$B$6-AD194,AC194))</f>
        <v>0</v>
      </c>
      <c r="AG194" s="1" t="n">
        <f aca="false">AA194+(-PV(Assumptions!$B$3,AE194,AC194))+Y194-((W194-AF194)/POWER(1+Assumptions!$B$2,C194))</f>
        <v>69923.2122146292</v>
      </c>
      <c r="AH194" s="0" t="n">
        <f aca="false">H194/12</f>
        <v>3</v>
      </c>
      <c r="AI194" s="0" t="n">
        <f aca="false">MAX(0,Assumptions!$B$10-Assumptions!$B$24)*Assumptions!$B$25</f>
        <v>0</v>
      </c>
      <c r="AJ194" s="1" t="n">
        <f aca="false">F194+Assumptions!$B$27+(-PV(Assumptions!$B$3,H194-1,G194))</f>
        <v>18374.973332453</v>
      </c>
      <c r="AK194" s="0" t="n">
        <f aca="false">CEILING(C194/AH194,1)</f>
        <v>4</v>
      </c>
      <c r="AL194" s="0" t="n">
        <f aca="false">(1+Assumptions!$B$26)/POWER(1+Assumptions!$B$2,AH194)</f>
        <v>0.906135810905202</v>
      </c>
      <c r="AM194" s="0" t="n">
        <f aca="false">IF(ABS(1-AL194)&lt;0.000000000001,AK194,(1-POWER(AL194,AK194))/(1-AL194))</f>
        <v>3.47122982028551</v>
      </c>
      <c r="AN194" s="0" t="n">
        <f aca="false">1/POWER(1+Assumptions!$B$2,AH194)</f>
        <v>0.871284433562695</v>
      </c>
      <c r="AO194" s="0" t="n">
        <f aca="false">IF(ABS(1-AN194)&lt;0.000000000001,AK194,AN194*(1-POWER(AN194,AK194))/(1-AN194))</f>
        <v>2.86813319209759</v>
      </c>
      <c r="AP194" s="1" t="n">
        <f aca="false">AJ194*AM194+Assumptions!$B$28*AO194+(-PV(Assumptions!$B$2,C194,R194+T194+AI194))</f>
        <v>90268.3387131613</v>
      </c>
      <c r="AQ194" s="0" t="n">
        <f aca="false">N194*(1+Assumptions!$B$8)</f>
        <v>24736.005</v>
      </c>
      <c r="AR194" s="1" t="n">
        <f aca="false">PMT(Assumptions!$B$5,Assumptions!$B$29,-AQ194)</f>
        <v>763.66293062865</v>
      </c>
      <c r="AS194" s="0" t="n">
        <f aca="false">MAX(0,AD194-H194)</f>
        <v>84</v>
      </c>
      <c r="AT194" s="0" t="n">
        <f aca="false">MIN(Assumptions!$B$29,AS194)</f>
        <v>36</v>
      </c>
      <c r="AU194" s="0" t="n">
        <f aca="false">IF(AS194&gt;=Assumptions!$B$29,0,-PV(Assumptions!$B$5,Assumptions!$B$29-AS194,AR194))</f>
        <v>0</v>
      </c>
      <c r="AV194" s="1" t="n">
        <f aca="false">(-PV(Assumptions!$B$3,AT194,AR194))/POWER(1+Assumptions!$B$2,AH194)</f>
        <v>22300.540804213</v>
      </c>
      <c r="AW194" s="1" t="n">
        <f aca="false">-PV(Assumptions!$B$2,AH194,T194+AI194)</f>
        <v>5318.41766002654</v>
      </c>
      <c r="AX194" s="1" t="n">
        <f aca="false">(-PV(Assumptions!$B$2,C194,S194))-(-PV(Assumptions!$B$2,AH194,S194))</f>
        <v>8919.48888629116</v>
      </c>
      <c r="AY194" s="1" t="n">
        <f aca="false">AJ194+AW194+AX194+(-PV(Assumptions!$B$2,C194,R194))+X194-(W194/POWER(1+Assumptions!$B$2,C194))</f>
        <v>42792.2337865155</v>
      </c>
      <c r="AZ194" s="1" t="n">
        <f aca="false">AY194+AV194+(AU194/POWER(1+Assumptions!$B$2,C194))</f>
        <v>65092.7745907284</v>
      </c>
      <c r="BA194" s="0" t="n">
        <f aca="false">AQ194/POWER(1+Assumptions!$B$2,AH194)</f>
        <v>21552.096105029</v>
      </c>
      <c r="BB194" s="1" t="n">
        <f aca="false">AY194+BA194</f>
        <v>64344.3298915444</v>
      </c>
      <c r="BC194" s="1" t="n">
        <f aca="false">AJ194+Assumptions!$B$28/POWER(1+Assumptions!$B$2,AH194)+(-PV(Assumptions!$B$2,AH194,R194+T194+AI194))</f>
        <v>27579.3006520363</v>
      </c>
      <c r="BD194" s="1" t="n">
        <f aca="false">MIN(Z194,AG194,AZ194)</f>
        <v>65092.7745907284</v>
      </c>
      <c r="BE194" s="0" t="str">
        <f aca="false">IF(BD194=Z194,"Cash",IF(BD194=AG194,"Loan","Lease then buy out"))</f>
        <v>Lease then buy out</v>
      </c>
    </row>
    <row r="195" customFormat="false" ht="15" hidden="false" customHeight="false" outlineLevel="0" collapsed="false">
      <c r="A195" s="0" t="s">
        <v>41</v>
      </c>
      <c r="B195" s="0" t="s">
        <v>108</v>
      </c>
      <c r="C195" s="0" t="n">
        <v>10</v>
      </c>
      <c r="D195" s="0" t="n">
        <v>0</v>
      </c>
      <c r="E195" s="0" t="n">
        <v>27500</v>
      </c>
      <c r="F195" s="0" t="n">
        <v>4011</v>
      </c>
      <c r="G195" s="0" t="n">
        <v>251</v>
      </c>
      <c r="H195" s="0" t="n">
        <v>36</v>
      </c>
      <c r="I195" s="0" t="n">
        <v>26</v>
      </c>
      <c r="J195" s="0" t="n">
        <v>8845</v>
      </c>
      <c r="K195" s="0" t="s">
        <v>99</v>
      </c>
      <c r="L195" s="0" t="n">
        <v>174.8</v>
      </c>
      <c r="M195" s="0" t="n">
        <f aca="false">MAX(Assumptions!$B$33,Assumptions!$B$30-Assumptions!$B$31*(H195-36)-IF(D195=1,Assumptions!$B$32,0))</f>
        <v>0.57</v>
      </c>
      <c r="N195" s="0" t="n">
        <f aca="false">E195*M195</f>
        <v>15675</v>
      </c>
      <c r="O195" s="0" t="n">
        <f aca="false">1-POWER(J195/E195,0.1)</f>
        <v>0.107236318678628</v>
      </c>
      <c r="P195" s="0" t="n">
        <f aca="false">E195*(1+Assumptions!$B$8)+Assumptions!$B$9</f>
        <v>29275</v>
      </c>
      <c r="Q195" s="0" t="n">
        <f aca="false">IF(D195=1,Assumptions!$B$14*33.7,Assumptions!$B$13)</f>
        <v>3.1</v>
      </c>
      <c r="R195" s="0" t="n">
        <f aca="false">(Assumptions!$B$10/I195)*Q195</f>
        <v>1192.30769230769</v>
      </c>
      <c r="S195" s="0" t="n">
        <f aca="false">Assumptions!$B$15+Assumptions!$B$17</f>
        <v>1750</v>
      </c>
      <c r="T195" s="0" t="n">
        <f aca="false">Assumptions!$B$15*(1+Assumptions!$B$16)+Assumptions!$B$17</f>
        <v>1942</v>
      </c>
      <c r="U195" s="0" t="n">
        <f aca="false">IF(OR(C195&gt;Assumptions!$B$11,Assumptions!$B$10*C195&gt;Assumptions!$B$12),1,0)</f>
        <v>0</v>
      </c>
      <c r="V195" s="0" t="n">
        <f aca="false">MAX(0.6,1-Assumptions!$B$22*MAX(0,(Assumptions!$B$10-10000)*C195)/10000)</f>
        <v>1</v>
      </c>
      <c r="W195" s="0" t="n">
        <f aca="false">IF(U195=1,Assumptions!$B$23,MAX(Assumptions!$B$23,E195*POWER(1-O195,C195)*V195))</f>
        <v>8845</v>
      </c>
      <c r="X195" s="0" t="n">
        <f aca="true">SUMPRODUCT((ROW(INDIRECT("1:"&amp;C195))&gt;Assumptions!$B$20)*Assumptions!$B$18*POWER(Assumptions!$B$19,ROW(INDIRECT("1:"&amp;C195))-Assumptions!$B$20-1)*IF(ROW(INDIRECT("1:"&amp;C195))&gt;Assumptions!$B$11,Assumptions!$B$21,1)/POWER(1+Assumptions!$B$2,ROW(INDIRECT("1:"&amp;C195))))</f>
        <v>7070.12417022456</v>
      </c>
      <c r="Y195" s="1" t="n">
        <f aca="false">-PV(Assumptions!$B$2,C195,R195+S195)+X195</f>
        <v>30124.5168508204</v>
      </c>
      <c r="Z195" s="1" t="n">
        <f aca="false">P195+Y195-(W195/POWER(1+Assumptions!$B$2,C195))</f>
        <v>53811.8433630238</v>
      </c>
      <c r="AA195" s="0" t="n">
        <f aca="false">P195*Assumptions!$B$7</f>
        <v>2927.5</v>
      </c>
      <c r="AB195" s="0" t="n">
        <f aca="false">P195-AA195</f>
        <v>26347.5</v>
      </c>
      <c r="AC195" s="1" t="n">
        <f aca="false">PMT(Assumptions!$B$5,Assumptions!$B$6,-AB195)</f>
        <v>521.587779543425</v>
      </c>
      <c r="AD195" s="0" t="n">
        <f aca="false">C195*12</f>
        <v>120</v>
      </c>
      <c r="AE195" s="0" t="n">
        <f aca="false">MIN(Assumptions!$B$6,AD195)</f>
        <v>60</v>
      </c>
      <c r="AF195" s="0" t="n">
        <f aca="false">IF(AD195&gt;=Assumptions!$B$6,0,-PV(Assumptions!$B$5,Assumptions!$B$6-AD195,AC195))</f>
        <v>0</v>
      </c>
      <c r="AG195" s="1" t="n">
        <f aca="false">AA195+(-PV(Assumptions!$B$3,AE195,AC195))+Y195-((W195-AF195)/POWER(1+Assumptions!$B$2,C195))</f>
        <v>55305.9692996823</v>
      </c>
      <c r="AH195" s="0" t="n">
        <f aca="false">H195/12</f>
        <v>3</v>
      </c>
      <c r="AI195" s="0" t="n">
        <f aca="false">MAX(0,Assumptions!$B$10-Assumptions!$B$24)*Assumptions!$B$25</f>
        <v>0</v>
      </c>
      <c r="AJ195" s="1" t="n">
        <f aca="false">F195+Assumptions!$B$27+(-PV(Assumptions!$B$3,H195-1,G195))</f>
        <v>12905.4951362433</v>
      </c>
      <c r="AK195" s="0" t="n">
        <f aca="false">CEILING(C195/AH195,1)</f>
        <v>4</v>
      </c>
      <c r="AL195" s="0" t="n">
        <f aca="false">(1+Assumptions!$B$26)/POWER(1+Assumptions!$B$2,AH195)</f>
        <v>0.906135810905202</v>
      </c>
      <c r="AM195" s="0" t="n">
        <f aca="false">IF(ABS(1-AL195)&lt;0.000000000001,AK195,(1-POWER(AL195,AK195))/(1-AL195))</f>
        <v>3.47122982028551</v>
      </c>
      <c r="AN195" s="0" t="n">
        <f aca="false">1/POWER(1+Assumptions!$B$2,AH195)</f>
        <v>0.871284433562695</v>
      </c>
      <c r="AO195" s="0" t="n">
        <f aca="false">IF(ABS(1-AN195)&lt;0.000000000001,AK195,AN195*(1-POWER(AN195,AK195))/(1-AN195))</f>
        <v>2.86813319209759</v>
      </c>
      <c r="AP195" s="1" t="n">
        <f aca="false">AJ195*AM195+Assumptions!$B$28*AO195+(-PV(Assumptions!$B$2,C195,R195+T195+AI195))</f>
        <v>70503.9976540498</v>
      </c>
      <c r="AQ195" s="0" t="n">
        <f aca="false">N195*(1+Assumptions!$B$8)</f>
        <v>16458.75</v>
      </c>
      <c r="AR195" s="1" t="n">
        <f aca="false">PMT(Assumptions!$B$5,Assumptions!$B$29,-AQ195)</f>
        <v>508.123169423854</v>
      </c>
      <c r="AS195" s="0" t="n">
        <f aca="false">MAX(0,AD195-H195)</f>
        <v>84</v>
      </c>
      <c r="AT195" s="0" t="n">
        <f aca="false">MIN(Assumptions!$B$29,AS195)</f>
        <v>36</v>
      </c>
      <c r="AU195" s="0" t="n">
        <f aca="false">IF(AS195&gt;=Assumptions!$B$29,0,-PV(Assumptions!$B$5,Assumptions!$B$29-AS195,AR195))</f>
        <v>0</v>
      </c>
      <c r="AV195" s="1" t="n">
        <f aca="false">(-PV(Assumptions!$B$3,AT195,AR195))/POWER(1+Assumptions!$B$2,AH195)</f>
        <v>14838.2499907055</v>
      </c>
      <c r="AW195" s="1" t="n">
        <f aca="false">-PV(Assumptions!$B$2,AH195,T195+AI195)</f>
        <v>5318.41766002654</v>
      </c>
      <c r="AX195" s="1" t="n">
        <f aca="false">(-PV(Assumptions!$B$2,C195,S195))-(-PV(Assumptions!$B$2,AH195,S195))</f>
        <v>8919.48888629116</v>
      </c>
      <c r="AY195" s="1" t="n">
        <f aca="false">AJ195+AW195+AX195+(-PV(Assumptions!$B$2,C195,R195))+X195-(W195/POWER(1+Assumptions!$B$2,C195))</f>
        <v>37968.1552813088</v>
      </c>
      <c r="AZ195" s="1" t="n">
        <f aca="false">AY195+AV195+(AU195/POWER(1+Assumptions!$B$2,C195))</f>
        <v>52806.4052720143</v>
      </c>
      <c r="BA195" s="0" t="n">
        <f aca="false">AQ195/POWER(1+Assumptions!$B$2,AH195)</f>
        <v>14340.2526709</v>
      </c>
      <c r="BB195" s="1" t="n">
        <f aca="false">AY195+BA195</f>
        <v>52308.4079522088</v>
      </c>
      <c r="BC195" s="1" t="n">
        <f aca="false">AJ195+Assumptions!$B$28/POWER(1+Assumptions!$B$2,AH195)+(-PV(Assumptions!$B$2,AH195,R195+T195+AI195))</f>
        <v>21837.7150799702</v>
      </c>
      <c r="BD195" s="1" t="n">
        <f aca="false">MIN(Z195,AG195,AZ195)</f>
        <v>52806.4052720143</v>
      </c>
      <c r="BE195" s="0" t="str">
        <f aca="false">IF(BD195=Z195,"Cash",IF(BD195=AG195,"Loan","Lease then buy out"))</f>
        <v>Lease then buy out</v>
      </c>
    </row>
    <row r="196" customFormat="false" ht="15" hidden="false" customHeight="false" outlineLevel="0" collapsed="false">
      <c r="A196" s="0" t="s">
        <v>89</v>
      </c>
      <c r="B196" s="0" t="s">
        <v>109</v>
      </c>
      <c r="C196" s="0" t="n">
        <v>10</v>
      </c>
      <c r="D196" s="0" t="n">
        <v>0</v>
      </c>
      <c r="E196" s="0" t="n">
        <v>54400</v>
      </c>
      <c r="F196" s="0" t="n">
        <v>4999</v>
      </c>
      <c r="G196" s="0" t="n">
        <v>589</v>
      </c>
      <c r="H196" s="0" t="n">
        <v>36</v>
      </c>
      <c r="I196" s="0" t="n">
        <v>25</v>
      </c>
      <c r="J196" s="0" t="n">
        <v>14372</v>
      </c>
      <c r="K196" s="0" t="s">
        <v>107</v>
      </c>
      <c r="L196" s="0" t="n">
        <v>122.4</v>
      </c>
      <c r="M196" s="0" t="n">
        <f aca="false">MAX(Assumptions!$B$33,Assumptions!$B$30-Assumptions!$B$31*(H196-36)-IF(D196=1,Assumptions!$B$32,0))</f>
        <v>0.57</v>
      </c>
      <c r="N196" s="0" t="n">
        <f aca="false">E196*M196</f>
        <v>31008</v>
      </c>
      <c r="O196" s="0" t="n">
        <f aca="false">1-POWER(J196/E196,0.1)</f>
        <v>0.12462965300371</v>
      </c>
      <c r="P196" s="0" t="n">
        <f aca="false">E196*(1+Assumptions!$B$8)+Assumptions!$B$9</f>
        <v>57520</v>
      </c>
      <c r="Q196" s="0" t="n">
        <f aca="false">IF(D196=1,Assumptions!$B$14*33.7,Assumptions!$B$13)</f>
        <v>3.1</v>
      </c>
      <c r="R196" s="0" t="n">
        <f aca="false">(Assumptions!$B$10/I196)*Q196</f>
        <v>1240</v>
      </c>
      <c r="S196" s="0" t="n">
        <f aca="false">Assumptions!$B$15+Assumptions!$B$17</f>
        <v>1750</v>
      </c>
      <c r="T196" s="0" t="n">
        <f aca="false">Assumptions!$B$15*(1+Assumptions!$B$16)+Assumptions!$B$17</f>
        <v>1942</v>
      </c>
      <c r="U196" s="0" t="n">
        <f aca="false">IF(OR(C196&gt;Assumptions!$B$11,Assumptions!$B$10*C196&gt;Assumptions!$B$12),1,0)</f>
        <v>0</v>
      </c>
      <c r="V196" s="0" t="n">
        <f aca="false">MAX(0.6,1-Assumptions!$B$22*MAX(0,(Assumptions!$B$10-10000)*C196)/10000)</f>
        <v>1</v>
      </c>
      <c r="W196" s="0" t="n">
        <f aca="false">IF(U196=1,Assumptions!$B$23,MAX(Assumptions!$B$23,E196*POWER(1-O196,C196)*V196))</f>
        <v>14372</v>
      </c>
      <c r="X196" s="0" t="n">
        <f aca="true">SUMPRODUCT((ROW(INDIRECT("1:"&amp;C196))&gt;Assumptions!$B$20)*Assumptions!$B$18*POWER(Assumptions!$B$19,ROW(INDIRECT("1:"&amp;C196))-Assumptions!$B$20-1)*IF(ROW(INDIRECT("1:"&amp;C196))&gt;Assumptions!$B$11,Assumptions!$B$21,1)/POWER(1+Assumptions!$B$2,ROW(INDIRECT("1:"&amp;C196))))</f>
        <v>7070.12417022456</v>
      </c>
      <c r="Y196" s="1" t="n">
        <f aca="false">-PV(Assumptions!$B$2,C196,R196+S196)+X196</f>
        <v>30498.2089674732</v>
      </c>
      <c r="Z196" s="1" t="n">
        <f aca="false">P196+Y196-(W196/POWER(1+Assumptions!$B$2,C196))</f>
        <v>78938.9502488059</v>
      </c>
      <c r="AA196" s="0" t="n">
        <f aca="false">P196*Assumptions!$B$7</f>
        <v>5752</v>
      </c>
      <c r="AB196" s="0" t="n">
        <f aca="false">P196-AA196</f>
        <v>51768</v>
      </c>
      <c r="AC196" s="1" t="n">
        <f aca="false">PMT(Assumptions!$B$5,Assumptions!$B$6,-AB196)</f>
        <v>1024.82422132665</v>
      </c>
      <c r="AD196" s="0" t="n">
        <f aca="false">C196*12</f>
        <v>120</v>
      </c>
      <c r="AE196" s="0" t="n">
        <f aca="false">MIN(Assumptions!$B$6,AD196)</f>
        <v>60</v>
      </c>
      <c r="AF196" s="0" t="n">
        <f aca="false">IF(AD196&gt;=Assumptions!$B$6,0,-PV(Assumptions!$B$5,Assumptions!$B$6-AD196,AC196))</f>
        <v>0</v>
      </c>
      <c r="AG196" s="1" t="n">
        <f aca="false">AA196+(-PV(Assumptions!$B$3,AE196,AC196))+Y196-((W196-AF196)/POWER(1+Assumptions!$B$2,C196))</f>
        <v>81874.6333872037</v>
      </c>
      <c r="AH196" s="0" t="n">
        <f aca="false">H196/12</f>
        <v>3</v>
      </c>
      <c r="AI196" s="0" t="n">
        <f aca="false">MAX(0,Assumptions!$B$10-Assumptions!$B$24)*Assumptions!$B$25</f>
        <v>0</v>
      </c>
      <c r="AJ196" s="1" t="n">
        <f aca="false">F196+Assumptions!$B$27+(-PV(Assumptions!$B$3,H196-1,G196))</f>
        <v>24928.3132878378</v>
      </c>
      <c r="AK196" s="0" t="n">
        <f aca="false">CEILING(C196/AH196,1)</f>
        <v>4</v>
      </c>
      <c r="AL196" s="0" t="n">
        <f aca="false">(1+Assumptions!$B$26)/POWER(1+Assumptions!$B$2,AH196)</f>
        <v>0.906135810905202</v>
      </c>
      <c r="AM196" s="0" t="n">
        <f aca="false">IF(ABS(1-AL196)&lt;0.000000000001,AK196,(1-POWER(AL196,AK196))/(1-AL196))</f>
        <v>3.47122982028551</v>
      </c>
      <c r="AN196" s="0" t="n">
        <f aca="false">1/POWER(1+Assumptions!$B$2,AH196)</f>
        <v>0.871284433562695</v>
      </c>
      <c r="AO196" s="0" t="n">
        <f aca="false">IF(ABS(1-AN196)&lt;0.000000000001,AK196,AN196*(1-POWER(AN196,AK196))/(1-AN196))</f>
        <v>2.86813319209759</v>
      </c>
      <c r="AP196" s="1" t="n">
        <f aca="false">AJ196*AM196+Assumptions!$B$28*AO196+(-PV(Assumptions!$B$2,C196,R196+T196+AI196))</f>
        <v>112611.654662387</v>
      </c>
      <c r="AQ196" s="0" t="n">
        <f aca="false">N196*(1+Assumptions!$B$8)</f>
        <v>32558.4</v>
      </c>
      <c r="AR196" s="1" t="n">
        <f aca="false">PMT(Assumptions!$B$5,Assumptions!$B$29,-AQ196)</f>
        <v>1005.16001515119</v>
      </c>
      <c r="AS196" s="0" t="n">
        <f aca="false">MAX(0,AD196-H196)</f>
        <v>84</v>
      </c>
      <c r="AT196" s="0" t="n">
        <f aca="false">MIN(Assumptions!$B$29,AS196)</f>
        <v>36</v>
      </c>
      <c r="AU196" s="0" t="n">
        <f aca="false">IF(AS196&gt;=Assumptions!$B$29,0,-PV(Assumptions!$B$5,Assumptions!$B$29-AS196,AR196))</f>
        <v>0</v>
      </c>
      <c r="AV196" s="1" t="n">
        <f aca="false">(-PV(Assumptions!$B$3,AT196,AR196))/POWER(1+Assumptions!$B$2,AH196)</f>
        <v>29352.75634525</v>
      </c>
      <c r="AW196" s="1" t="n">
        <f aca="false">-PV(Assumptions!$B$2,AH196,T196+AI196)</f>
        <v>5318.41766002654</v>
      </c>
      <c r="AX196" s="1" t="n">
        <f aca="false">(-PV(Assumptions!$B$2,C196,S196))-(-PV(Assumptions!$B$2,AH196,S196))</f>
        <v>8919.48888629116</v>
      </c>
      <c r="AY196" s="1" t="n">
        <f aca="false">AJ196+AW196+AX196+(-PV(Assumptions!$B$2,C196,R196))+X196-(W196/POWER(1+Assumptions!$B$2,C196))</f>
        <v>46873.0803186854</v>
      </c>
      <c r="AZ196" s="1" t="n">
        <f aca="false">AY196+AV196+(AU196/POWER(1+Assumptions!$B$2,C196))</f>
        <v>76225.8366639354</v>
      </c>
      <c r="BA196" s="0" t="n">
        <f aca="false">AQ196/POWER(1+Assumptions!$B$2,AH196)</f>
        <v>28367.6271017076</v>
      </c>
      <c r="BB196" s="1" t="n">
        <f aca="false">AY196+BA196</f>
        <v>75240.707420393</v>
      </c>
      <c r="BC196" s="1" t="n">
        <f aca="false">AJ196+Assumptions!$B$28/POWER(1+Assumptions!$B$2,AH196)+(-PV(Assumptions!$B$2,AH196,R196+T196+AI196))</f>
        <v>33991.1447719758</v>
      </c>
      <c r="BD196" s="1" t="n">
        <f aca="false">MIN(Z196,AG196,AZ196)</f>
        <v>76225.8366639354</v>
      </c>
      <c r="BE196" s="0" t="str">
        <f aca="false">IF(BD196=Z196,"Cash",IF(BD196=AG196,"Loan","Lease then buy out"))</f>
        <v>Lease then buy out</v>
      </c>
    </row>
    <row r="197" customFormat="false" ht="15" hidden="false" customHeight="false" outlineLevel="0" collapsed="false">
      <c r="A197" s="0" t="s">
        <v>80</v>
      </c>
      <c r="B197" s="0" t="s">
        <v>110</v>
      </c>
      <c r="C197" s="0" t="n">
        <v>10</v>
      </c>
      <c r="D197" s="0" t="n">
        <v>1</v>
      </c>
      <c r="E197" s="0" t="n">
        <v>52450</v>
      </c>
      <c r="F197" s="0" t="n">
        <v>4025</v>
      </c>
      <c r="G197" s="0" t="n">
        <v>595</v>
      </c>
      <c r="H197" s="0" t="n">
        <v>36</v>
      </c>
      <c r="I197" s="0" t="n">
        <v>106</v>
      </c>
      <c r="J197" s="0" t="n">
        <v>15641</v>
      </c>
      <c r="K197" s="0" t="s">
        <v>107</v>
      </c>
      <c r="L197" s="0" t="n">
        <v>150.5</v>
      </c>
      <c r="M197" s="0" t="n">
        <f aca="false">MAX(Assumptions!$B$33,Assumptions!$B$30-Assumptions!$B$31*(H197-36)-IF(D197=1,Assumptions!$B$32,0))</f>
        <v>0.49</v>
      </c>
      <c r="N197" s="0" t="n">
        <f aca="false">E197*M197</f>
        <v>25700.5</v>
      </c>
      <c r="O197" s="0" t="n">
        <f aca="false">1-POWER(J197/E197,0.1)</f>
        <v>0.113962909436698</v>
      </c>
      <c r="P197" s="0" t="n">
        <f aca="false">E197*(1+Assumptions!$B$8)+Assumptions!$B$9</f>
        <v>55472.5</v>
      </c>
      <c r="Q197" s="0" t="n">
        <f aca="false">IF(D197=1,Assumptions!$B$14*33.7,Assumptions!$B$13)</f>
        <v>5.729</v>
      </c>
      <c r="R197" s="0" t="n">
        <f aca="false">(Assumptions!$B$10/I197)*Q197</f>
        <v>540.471698113208</v>
      </c>
      <c r="S197" s="0" t="n">
        <f aca="false">Assumptions!$B$15+Assumptions!$B$17</f>
        <v>1750</v>
      </c>
      <c r="T197" s="0" t="n">
        <f aca="false">Assumptions!$B$15*(1+Assumptions!$B$16)+Assumptions!$B$17</f>
        <v>1942</v>
      </c>
      <c r="U197" s="0" t="n">
        <f aca="false">IF(OR(C197&gt;Assumptions!$B$11,Assumptions!$B$10*C197&gt;Assumptions!$B$12),1,0)</f>
        <v>0</v>
      </c>
      <c r="V197" s="0" t="n">
        <f aca="false">MAX(0.6,1-Assumptions!$B$22*MAX(0,(Assumptions!$B$10-10000)*C197)/10000)</f>
        <v>1</v>
      </c>
      <c r="W197" s="0" t="n">
        <f aca="false">IF(U197=1,Assumptions!$B$23,MAX(Assumptions!$B$23,E197*POWER(1-O197,C197)*V197))</f>
        <v>15641</v>
      </c>
      <c r="X197" s="0" t="n">
        <f aca="true">SUMPRODUCT((ROW(INDIRECT("1:"&amp;C197))&gt;Assumptions!$B$20)*Assumptions!$B$18*POWER(Assumptions!$B$19,ROW(INDIRECT("1:"&amp;C197))-Assumptions!$B$20-1)*IF(ROW(INDIRECT("1:"&amp;C197))&gt;Assumptions!$B$11,Assumptions!$B$21,1)/POWER(1+Assumptions!$B$2,ROW(INDIRECT("1:"&amp;C197))))</f>
        <v>7070.12417022456</v>
      </c>
      <c r="Y197" s="1" t="n">
        <f aca="false">-PV(Assumptions!$B$2,C197,R197+S197)+X197</f>
        <v>25017.0690428313</v>
      </c>
      <c r="Z197" s="1" t="n">
        <f aca="false">P197+Y197-(W197/POWER(1+Assumptions!$B$2,C197))</f>
        <v>70608.6418497701</v>
      </c>
      <c r="AA197" s="0" t="n">
        <f aca="false">P197*Assumptions!$B$7</f>
        <v>5547.25</v>
      </c>
      <c r="AB197" s="0" t="n">
        <f aca="false">P197-AA197</f>
        <v>49925.25</v>
      </c>
      <c r="AC197" s="1" t="n">
        <f aca="false">PMT(Assumptions!$B$5,Assumptions!$B$6,-AB197)</f>
        <v>988.344256215975</v>
      </c>
      <c r="AD197" s="0" t="n">
        <f aca="false">C197*12</f>
        <v>120</v>
      </c>
      <c r="AE197" s="0" t="n">
        <f aca="false">MIN(Assumptions!$B$6,AD197)</f>
        <v>60</v>
      </c>
      <c r="AF197" s="0" t="n">
        <f aca="false">IF(AD197&gt;=Assumptions!$B$6,0,-PV(Assumptions!$B$5,Assumptions!$B$6-AD197,AC197))</f>
        <v>0</v>
      </c>
      <c r="AG197" s="1" t="n">
        <f aca="false">AA197+(-PV(Assumptions!$B$3,AE197,AC197))+Y197-((W197-AF197)/POWER(1+Assumptions!$B$2,C197))</f>
        <v>73439.8254884136</v>
      </c>
      <c r="AH197" s="0" t="n">
        <f aca="false">H197/12</f>
        <v>3</v>
      </c>
      <c r="AI197" s="0" t="n">
        <f aca="false">MAX(0,Assumptions!$B$10-Assumptions!$B$24)*Assumptions!$B$25</f>
        <v>0</v>
      </c>
      <c r="AJ197" s="1" t="n">
        <f aca="false">F197+Assumptions!$B$27+(-PV(Assumptions!$B$3,H197-1,G197))</f>
        <v>24150.1976337241</v>
      </c>
      <c r="AK197" s="0" t="n">
        <f aca="false">CEILING(C197/AH197,1)</f>
        <v>4</v>
      </c>
      <c r="AL197" s="0" t="n">
        <f aca="false">(1+Assumptions!$B$26)/POWER(1+Assumptions!$B$2,AH197)</f>
        <v>0.906135810905202</v>
      </c>
      <c r="AM197" s="0" t="n">
        <f aca="false">IF(ABS(1-AL197)&lt;0.000000000001,AK197,(1-POWER(AL197,AK197))/(1-AL197))</f>
        <v>3.47122982028551</v>
      </c>
      <c r="AN197" s="0" t="n">
        <f aca="false">1/POWER(1+Assumptions!$B$2,AH197)</f>
        <v>0.871284433562695</v>
      </c>
      <c r="AO197" s="0" t="n">
        <f aca="false">IF(ABS(1-AN197)&lt;0.000000000001,AK197,AN197*(1-POWER(AN197,AK197))/(1-AN197))</f>
        <v>2.86813319209759</v>
      </c>
      <c r="AP197" s="1" t="n">
        <f aca="false">AJ197*AM197+Assumptions!$B$28*AO197+(-PV(Assumptions!$B$2,C197,R197+T197+AI197))</f>
        <v>104429.496475555</v>
      </c>
      <c r="AQ197" s="0" t="n">
        <f aca="false">N197*(1+Assumptions!$B$8)</f>
        <v>26985.525</v>
      </c>
      <c r="AR197" s="1" t="n">
        <f aca="false">PMT(Assumptions!$B$5,Assumptions!$B$29,-AQ197)</f>
        <v>833.111292872584</v>
      </c>
      <c r="AS197" s="0" t="n">
        <f aca="false">MAX(0,AD197-H197)</f>
        <v>84</v>
      </c>
      <c r="AT197" s="0" t="n">
        <f aca="false">MIN(Assumptions!$B$29,AS197)</f>
        <v>36</v>
      </c>
      <c r="AU197" s="0" t="n">
        <f aca="false">IF(AS197&gt;=Assumptions!$B$29,0,-PV(Assumptions!$B$5,Assumptions!$B$29-AS197,AR197))</f>
        <v>0</v>
      </c>
      <c r="AV197" s="1" t="n">
        <f aca="false">(-PV(Assumptions!$B$3,AT197,AR197))/POWER(1+Assumptions!$B$2,AH197)</f>
        <v>24328.5769624322</v>
      </c>
      <c r="AW197" s="1" t="n">
        <f aca="false">-PV(Assumptions!$B$2,AH197,T197+AI197)</f>
        <v>5318.41766002654</v>
      </c>
      <c r="AX197" s="1" t="n">
        <f aca="false">(-PV(Assumptions!$B$2,C197,S197))-(-PV(Assumptions!$B$2,AH197,S197))</f>
        <v>8919.48888629116</v>
      </c>
      <c r="AY197" s="1" t="n">
        <f aca="false">AJ197+AW197+AX197+(-PV(Assumptions!$B$2,C197,R197))+X197-(W197/POWER(1+Assumptions!$B$2,C197))</f>
        <v>39812.156265536</v>
      </c>
      <c r="AZ197" s="1" t="n">
        <f aca="false">AY197+AV197+(AU197/POWER(1+Assumptions!$B$2,C197))</f>
        <v>64140.7332279682</v>
      </c>
      <c r="BA197" s="0" t="n">
        <f aca="false">AQ197/POWER(1+Assumptions!$B$2,AH197)</f>
        <v>23512.0678640169</v>
      </c>
      <c r="BB197" s="1" t="n">
        <f aca="false">AY197+BA197</f>
        <v>63324.2241295529</v>
      </c>
      <c r="BC197" s="1" t="n">
        <f aca="false">AJ197+Assumptions!$B$28/POWER(1+Assumptions!$B$2,AH197)+(-PV(Assumptions!$B$2,AH197,R197+T197+AI197))</f>
        <v>31297.2805728347</v>
      </c>
      <c r="BD197" s="1" t="n">
        <f aca="false">MIN(Z197,AG197,AZ197)</f>
        <v>64140.7332279682</v>
      </c>
      <c r="BE197" s="0" t="str">
        <f aca="false">IF(BD197=Z197,"Cash",IF(BD197=AG197,"Loan","Lease then buy out"))</f>
        <v>Lease then buy out</v>
      </c>
    </row>
    <row r="198" customFormat="false" ht="15" hidden="false" customHeight="false" outlineLevel="0" collapsed="false">
      <c r="A198" s="0" t="s">
        <v>103</v>
      </c>
      <c r="B198" s="0" t="s">
        <v>111</v>
      </c>
      <c r="C198" s="0" t="n">
        <v>10</v>
      </c>
      <c r="D198" s="0" t="n">
        <v>0</v>
      </c>
      <c r="E198" s="0" t="n">
        <v>27895</v>
      </c>
      <c r="F198" s="0" t="n">
        <v>3699</v>
      </c>
      <c r="G198" s="0" t="n">
        <v>279</v>
      </c>
      <c r="H198" s="0" t="n">
        <v>36</v>
      </c>
      <c r="I198" s="0" t="n">
        <v>32</v>
      </c>
      <c r="J198" s="0" t="n">
        <v>12230</v>
      </c>
      <c r="K198" s="0" t="s">
        <v>99</v>
      </c>
      <c r="L198" s="0" t="n">
        <v>125.9</v>
      </c>
      <c r="M198" s="0" t="n">
        <f aca="false">MAX(Assumptions!$B$33,Assumptions!$B$30-Assumptions!$B$31*(H198-36)-IF(D198=1,Assumptions!$B$32,0))</f>
        <v>0.57</v>
      </c>
      <c r="N198" s="0" t="n">
        <f aca="false">E198*M198</f>
        <v>15900.15</v>
      </c>
      <c r="O198" s="0" t="n">
        <f aca="false">1-POWER(J198/E198,0.1)</f>
        <v>0.0791476322331408</v>
      </c>
      <c r="P198" s="0" t="n">
        <f aca="false">E198*(1+Assumptions!$B$8)+Assumptions!$B$9</f>
        <v>29689.75</v>
      </c>
      <c r="Q198" s="0" t="n">
        <f aca="false">IF(D198=1,Assumptions!$B$14*33.7,Assumptions!$B$13)</f>
        <v>3.1</v>
      </c>
      <c r="R198" s="0" t="n">
        <f aca="false">(Assumptions!$B$10/I198)*Q198</f>
        <v>968.75</v>
      </c>
      <c r="S198" s="0" t="n">
        <f aca="false">Assumptions!$B$15+Assumptions!$B$17</f>
        <v>1750</v>
      </c>
      <c r="T198" s="0" t="n">
        <f aca="false">Assumptions!$B$15*(1+Assumptions!$B$16)+Assumptions!$B$17</f>
        <v>1942</v>
      </c>
      <c r="U198" s="0" t="n">
        <f aca="false">IF(OR(C198&gt;Assumptions!$B$11,Assumptions!$B$10*C198&gt;Assumptions!$B$12),1,0)</f>
        <v>0</v>
      </c>
      <c r="V198" s="0" t="n">
        <f aca="false">MAX(0.6,1-Assumptions!$B$22*MAX(0,(Assumptions!$B$10-10000)*C198)/10000)</f>
        <v>1</v>
      </c>
      <c r="W198" s="0" t="n">
        <f aca="false">IF(U198=1,Assumptions!$B$23,MAX(Assumptions!$B$23,E198*POWER(1-O198,C198)*V198))</f>
        <v>12230</v>
      </c>
      <c r="X198" s="0" t="n">
        <f aca="true">SUMPRODUCT((ROW(INDIRECT("1:"&amp;C198))&gt;Assumptions!$B$20)*Assumptions!$B$18*POWER(Assumptions!$B$19,ROW(INDIRECT("1:"&amp;C198))-Assumptions!$B$20-1)*IF(ROW(INDIRECT("1:"&amp;C198))&gt;Assumptions!$B$11,Assumptions!$B$21,1)/POWER(1+Assumptions!$B$2,ROW(INDIRECT("1:"&amp;C198))))</f>
        <v>7070.12417022456</v>
      </c>
      <c r="Y198" s="1" t="n">
        <f aca="false">-PV(Assumptions!$B$2,C198,R198+S198)+X198</f>
        <v>28372.8350540104</v>
      </c>
      <c r="Z198" s="1" t="n">
        <f aca="false">P198+Y198-(W198/POWER(1+Assumptions!$B$2,C198))</f>
        <v>50336.4972353838</v>
      </c>
      <c r="AA198" s="0" t="n">
        <f aca="false">P198*Assumptions!$B$7</f>
        <v>2968.975</v>
      </c>
      <c r="AB198" s="0" t="n">
        <f aca="false">P198-AA198</f>
        <v>26720.775</v>
      </c>
      <c r="AC198" s="1" t="n">
        <f aca="false">PMT(Assumptions!$B$5,Assumptions!$B$6,-AB198)</f>
        <v>528.97731093764</v>
      </c>
      <c r="AD198" s="0" t="n">
        <f aca="false">C198*12</f>
        <v>120</v>
      </c>
      <c r="AE198" s="0" t="n">
        <f aca="false">MIN(Assumptions!$B$6,AD198)</f>
        <v>60</v>
      </c>
      <c r="AF198" s="0" t="n">
        <f aca="false">IF(AD198&gt;=Assumptions!$B$6,0,-PV(Assumptions!$B$5,Assumptions!$B$6-AD198,AC198))</f>
        <v>0</v>
      </c>
      <c r="AG198" s="1" t="n">
        <f aca="false">AA198+(-PV(Assumptions!$B$3,AE198,AC198))+Y198-((W198-AF198)/POWER(1+Assumptions!$B$2,C198))</f>
        <v>51851.7910194284</v>
      </c>
      <c r="AH198" s="0" t="n">
        <f aca="false">H198/12</f>
        <v>3</v>
      </c>
      <c r="AI198" s="0" t="n">
        <f aca="false">MAX(0,Assumptions!$B$10-Assumptions!$B$24)*Assumptions!$B$25</f>
        <v>0</v>
      </c>
      <c r="AJ198" s="1" t="n">
        <f aca="false">F198+Assumptions!$B$27+(-PV(Assumptions!$B$3,H198-1,G198))</f>
        <v>13507.6220837126</v>
      </c>
      <c r="AK198" s="0" t="n">
        <f aca="false">CEILING(C198/AH198,1)</f>
        <v>4</v>
      </c>
      <c r="AL198" s="0" t="n">
        <f aca="false">(1+Assumptions!$B$26)/POWER(1+Assumptions!$B$2,AH198)</f>
        <v>0.906135810905202</v>
      </c>
      <c r="AM198" s="0" t="n">
        <f aca="false">IF(ABS(1-AL198)&lt;0.000000000001,AK198,(1-POWER(AL198,AK198))/(1-AL198))</f>
        <v>3.47122982028551</v>
      </c>
      <c r="AN198" s="0" t="n">
        <f aca="false">1/POWER(1+Assumptions!$B$2,AH198)</f>
        <v>0.871284433562695</v>
      </c>
      <c r="AO198" s="0" t="n">
        <f aca="false">IF(ABS(1-AN198)&lt;0.000000000001,AK198,AN198*(1-POWER(AN198,AK198))/(1-AN198))</f>
        <v>2.86813319209759</v>
      </c>
      <c r="AP198" s="1" t="n">
        <f aca="false">AJ198*AM198+Assumptions!$B$28*AO198+(-PV(Assumptions!$B$2,C198,R198+T198+AI198))</f>
        <v>70842.436872893</v>
      </c>
      <c r="AQ198" s="0" t="n">
        <f aca="false">N198*(1+Assumptions!$B$8)</f>
        <v>16695.1575</v>
      </c>
      <c r="AR198" s="1" t="n">
        <f aca="false">PMT(Assumptions!$B$5,Assumptions!$B$29,-AQ198)</f>
        <v>515.421665857396</v>
      </c>
      <c r="AS198" s="0" t="n">
        <f aca="false">MAX(0,AD198-H198)</f>
        <v>84</v>
      </c>
      <c r="AT198" s="0" t="n">
        <f aca="false">MIN(Assumptions!$B$29,AS198)</f>
        <v>36</v>
      </c>
      <c r="AU198" s="0" t="n">
        <f aca="false">IF(AS198&gt;=Assumptions!$B$29,0,-PV(Assumptions!$B$5,Assumptions!$B$29-AS198,AR198))</f>
        <v>0</v>
      </c>
      <c r="AV198" s="1" t="n">
        <f aca="false">(-PV(Assumptions!$B$3,AT198,AR198))/POWER(1+Assumptions!$B$2,AH198)</f>
        <v>15051.3812178447</v>
      </c>
      <c r="AW198" s="1" t="n">
        <f aca="false">-PV(Assumptions!$B$2,AH198,T198+AI198)</f>
        <v>5318.41766002654</v>
      </c>
      <c r="AX198" s="1" t="n">
        <f aca="false">(-PV(Assumptions!$B$2,C198,S198))-(-PV(Assumptions!$B$2,AH198,S198))</f>
        <v>8919.48888629116</v>
      </c>
      <c r="AY198" s="1" t="n">
        <f aca="false">AJ198+AW198+AX198+(-PV(Assumptions!$B$2,C198,R198))+X198-(W198/POWER(1+Assumptions!$B$2,C198))</f>
        <v>34680.1861011382</v>
      </c>
      <c r="AZ198" s="1" t="n">
        <f aca="false">AY198+AV198+(AU198/POWER(1+Assumptions!$B$2,C198))</f>
        <v>49731.5673189829</v>
      </c>
      <c r="BA198" s="0" t="n">
        <f aca="false">AQ198/POWER(1+Assumptions!$B$2,AH198)</f>
        <v>14546.2308456275</v>
      </c>
      <c r="BB198" s="1" t="n">
        <f aca="false">AY198+BA198</f>
        <v>49226.4169467657</v>
      </c>
      <c r="BC198" s="1" t="n">
        <f aca="false">AJ198+Assumptions!$B$28/POWER(1+Assumptions!$B$2,AH198)+(-PV(Assumptions!$B$2,AH198,R198+T198+AI198))</f>
        <v>21827.600431763</v>
      </c>
      <c r="BD198" s="1" t="n">
        <f aca="false">MIN(Z198,AG198,AZ198)</f>
        <v>49731.5673189829</v>
      </c>
      <c r="BE198" s="0" t="str">
        <f aca="false">IF(BD198=Z198,"Cash",IF(BD198=AG198,"Loan","Lease then buy out"))</f>
        <v>Lease then buy out</v>
      </c>
    </row>
    <row r="199" customFormat="false" ht="15" hidden="false" customHeight="false" outlineLevel="0" collapsed="false">
      <c r="A199" s="0" t="s">
        <v>103</v>
      </c>
      <c r="B199" s="0" t="s">
        <v>112</v>
      </c>
      <c r="C199" s="0" t="n">
        <v>10</v>
      </c>
      <c r="D199" s="0" t="n">
        <v>0</v>
      </c>
      <c r="E199" s="0" t="n">
        <v>34050</v>
      </c>
      <c r="F199" s="0" t="n">
        <v>3899</v>
      </c>
      <c r="G199" s="0" t="n">
        <v>369</v>
      </c>
      <c r="H199" s="0" t="n">
        <v>36</v>
      </c>
      <c r="I199" s="0" t="n">
        <v>38</v>
      </c>
      <c r="J199" s="0" t="n">
        <v>16015</v>
      </c>
      <c r="K199" s="0" t="s">
        <v>99</v>
      </c>
      <c r="L199" s="0" t="n">
        <v>176.5</v>
      </c>
      <c r="M199" s="0" t="n">
        <f aca="false">MAX(Assumptions!$B$33,Assumptions!$B$30-Assumptions!$B$31*(H199-36)-IF(D199=1,Assumptions!$B$32,0))</f>
        <v>0.57</v>
      </c>
      <c r="N199" s="0" t="n">
        <f aca="false">E199*M199</f>
        <v>19408.5</v>
      </c>
      <c r="O199" s="0" t="n">
        <f aca="false">1-POWER(J199/E199,0.1)</f>
        <v>0.0726557516911875</v>
      </c>
      <c r="P199" s="0" t="n">
        <f aca="false">E199*(1+Assumptions!$B$8)+Assumptions!$B$9</f>
        <v>36152.5</v>
      </c>
      <c r="Q199" s="0" t="n">
        <f aca="false">IF(D199=1,Assumptions!$B$14*33.7,Assumptions!$B$13)</f>
        <v>3.1</v>
      </c>
      <c r="R199" s="0" t="n">
        <f aca="false">(Assumptions!$B$10/I199)*Q199</f>
        <v>815.789473684211</v>
      </c>
      <c r="S199" s="0" t="n">
        <f aca="false">Assumptions!$B$15+Assumptions!$B$17</f>
        <v>1750</v>
      </c>
      <c r="T199" s="0" t="n">
        <f aca="false">Assumptions!$B$15*(1+Assumptions!$B$16)+Assumptions!$B$17</f>
        <v>1942</v>
      </c>
      <c r="U199" s="0" t="n">
        <f aca="false">IF(OR(C199&gt;Assumptions!$B$11,Assumptions!$B$10*C199&gt;Assumptions!$B$12),1,0)</f>
        <v>0</v>
      </c>
      <c r="V199" s="0" t="n">
        <f aca="false">MAX(0.6,1-Assumptions!$B$22*MAX(0,(Assumptions!$B$10-10000)*C199)/10000)</f>
        <v>1</v>
      </c>
      <c r="W199" s="0" t="n">
        <f aca="false">IF(U199=1,Assumptions!$B$23,MAX(Assumptions!$B$23,E199*POWER(1-O199,C199)*V199))</f>
        <v>16015</v>
      </c>
      <c r="X199" s="0" t="n">
        <f aca="true">SUMPRODUCT((ROW(INDIRECT("1:"&amp;C199))&gt;Assumptions!$B$20)*Assumptions!$B$18*POWER(Assumptions!$B$19,ROW(INDIRECT("1:"&amp;C199))-Assumptions!$B$20-1)*IF(ROW(INDIRECT("1:"&amp;C199))&gt;Assumptions!$B$11,Assumptions!$B$21,1)/POWER(1+Assumptions!$B$2,ROW(INDIRECT("1:"&amp;C199))))</f>
        <v>7070.12417022456</v>
      </c>
      <c r="Y199" s="1" t="n">
        <f aca="false">-PV(Assumptions!$B$2,C199,R199+S199)+X199</f>
        <v>27174.3159298773</v>
      </c>
      <c r="Z199" s="1" t="n">
        <f aca="false">P199+Y199-(W199/POWER(1+Assumptions!$B$2,C199))</f>
        <v>53209.6208018883</v>
      </c>
      <c r="AA199" s="0" t="n">
        <f aca="false">P199*Assumptions!$B$7</f>
        <v>3615.25</v>
      </c>
      <c r="AB199" s="0" t="n">
        <f aca="false">P199-AA199</f>
        <v>32537.25</v>
      </c>
      <c r="AC199" s="1" t="n">
        <f aca="false">PMT(Assumptions!$B$5,Assumptions!$B$6,-AB199)</f>
        <v>644.123046966479</v>
      </c>
      <c r="AD199" s="0" t="n">
        <f aca="false">C199*12</f>
        <v>120</v>
      </c>
      <c r="AE199" s="0" t="n">
        <f aca="false">MIN(Assumptions!$B$6,AD199)</f>
        <v>60</v>
      </c>
      <c r="AF199" s="0" t="n">
        <f aca="false">IF(AD199&gt;=Assumptions!$B$6,0,-PV(Assumptions!$B$5,Assumptions!$B$6-AD199,AC199))</f>
        <v>0</v>
      </c>
      <c r="AG199" s="1" t="n">
        <f aca="false">AA199+(-PV(Assumptions!$B$3,AE199,AC199))+Y199-((W199-AF199)/POWER(1+Assumptions!$B$2,C199))</f>
        <v>55054.7578787473</v>
      </c>
      <c r="AH199" s="0" t="n">
        <f aca="false">H199/12</f>
        <v>3</v>
      </c>
      <c r="AI199" s="0" t="n">
        <f aca="false">MAX(0,Assumptions!$B$10-Assumptions!$B$24)*Assumptions!$B$25</f>
        <v>0</v>
      </c>
      <c r="AJ199" s="1" t="n">
        <f aca="false">F199+Assumptions!$B$27+(-PV(Assumptions!$B$3,H199-1,G199))</f>
        <v>16645.887272007</v>
      </c>
      <c r="AK199" s="0" t="n">
        <f aca="false">CEILING(C199/AH199,1)</f>
        <v>4</v>
      </c>
      <c r="AL199" s="0" t="n">
        <f aca="false">(1+Assumptions!$B$26)/POWER(1+Assumptions!$B$2,AH199)</f>
        <v>0.906135810905202</v>
      </c>
      <c r="AM199" s="0" t="n">
        <f aca="false">IF(ABS(1-AL199)&lt;0.000000000001,AK199,(1-POWER(AL199,AK199))/(1-AL199))</f>
        <v>3.47122982028551</v>
      </c>
      <c r="AN199" s="0" t="n">
        <f aca="false">1/POWER(1+Assumptions!$B$2,AH199)</f>
        <v>0.871284433562695</v>
      </c>
      <c r="AO199" s="0" t="n">
        <f aca="false">IF(ABS(1-AN199)&lt;0.000000000001,AK199,AN199*(1-POWER(AN199,AK199))/(1-AN199))</f>
        <v>2.86813319209759</v>
      </c>
      <c r="AP199" s="1" t="n">
        <f aca="false">AJ199*AM199+Assumptions!$B$28*AO199+(-PV(Assumptions!$B$2,C199,R199+T199+AI199))</f>
        <v>80537.5574543313</v>
      </c>
      <c r="AQ199" s="0" t="n">
        <f aca="false">N199*(1+Assumptions!$B$8)</f>
        <v>20378.925</v>
      </c>
      <c r="AR199" s="1" t="n">
        <f aca="false">PMT(Assumptions!$B$5,Assumptions!$B$29,-AQ199)</f>
        <v>629.148869777535</v>
      </c>
      <c r="AS199" s="0" t="n">
        <f aca="false">MAX(0,AD199-H199)</f>
        <v>84</v>
      </c>
      <c r="AT199" s="0" t="n">
        <f aca="false">MIN(Assumptions!$B$29,AS199)</f>
        <v>36</v>
      </c>
      <c r="AU199" s="0" t="n">
        <f aca="false">IF(AS199&gt;=Assumptions!$B$29,0,-PV(Assumptions!$B$5,Assumptions!$B$29-AS199,AR199))</f>
        <v>0</v>
      </c>
      <c r="AV199" s="1" t="n">
        <f aca="false">(-PV(Assumptions!$B$3,AT199,AR199))/POWER(1+Assumptions!$B$2,AH199)</f>
        <v>18372.451352128</v>
      </c>
      <c r="AW199" s="1" t="n">
        <f aca="false">-PV(Assumptions!$B$2,AH199,T199+AI199)</f>
        <v>5318.41766002654</v>
      </c>
      <c r="AX199" s="1" t="n">
        <f aca="false">(-PV(Assumptions!$B$2,C199,S199))-(-PV(Assumptions!$B$2,AH199,S199))</f>
        <v>8919.48888629116</v>
      </c>
      <c r="AY199" s="1" t="n">
        <f aca="false">AJ199+AW199+AX199+(-PV(Assumptions!$B$2,C199,R199))+X199-(W199/POWER(1+Assumptions!$B$2,C199))</f>
        <v>34228.8248559371</v>
      </c>
      <c r="AZ199" s="1" t="n">
        <f aca="false">AY199+AV199+(AU199/POWER(1+Assumptions!$B$2,C199))</f>
        <v>52601.2762080651</v>
      </c>
      <c r="BA199" s="0" t="n">
        <f aca="false">AQ199/POWER(1+Assumptions!$B$2,AH199)</f>
        <v>17755.8401252416</v>
      </c>
      <c r="BB199" s="1" t="n">
        <f aca="false">AY199+BA199</f>
        <v>51984.6649811787</v>
      </c>
      <c r="BC199" s="1" t="n">
        <f aca="false">AJ199+Assumptions!$B$28/POWER(1+Assumptions!$B$2,AH199)+(-PV(Assumptions!$B$2,AH199,R199+T199+AI199))</f>
        <v>24546.963475647</v>
      </c>
      <c r="BD199" s="1" t="n">
        <f aca="false">MIN(Z199,AG199,AZ199)</f>
        <v>52601.2762080651</v>
      </c>
      <c r="BE199" s="0" t="str">
        <f aca="false">IF(BD199=Z199,"Cash",IF(BD199=AG199,"Loan","Lease then buy out"))</f>
        <v>Lease then buy out</v>
      </c>
    </row>
    <row r="200" customFormat="false" ht="15" hidden="false" customHeight="false" outlineLevel="0" collapsed="false">
      <c r="A200" s="0" t="s">
        <v>43</v>
      </c>
      <c r="B200" s="0" t="s">
        <v>113</v>
      </c>
      <c r="C200" s="0" t="n">
        <v>10</v>
      </c>
      <c r="D200" s="0" t="n">
        <v>0</v>
      </c>
      <c r="E200" s="0" t="n">
        <v>37858</v>
      </c>
      <c r="F200" s="0" t="n">
        <v>2956</v>
      </c>
      <c r="G200" s="0" t="n">
        <v>456</v>
      </c>
      <c r="H200" s="0" t="n">
        <v>36</v>
      </c>
      <c r="I200" s="0" t="n">
        <v>37</v>
      </c>
      <c r="J200" s="0" t="n">
        <v>11019</v>
      </c>
      <c r="K200" s="0" t="s">
        <v>99</v>
      </c>
      <c r="L200" s="0" t="n">
        <v>175.5</v>
      </c>
      <c r="M200" s="0" t="n">
        <f aca="false">MAX(Assumptions!$B$33,Assumptions!$B$30-Assumptions!$B$31*(H200-36)-IF(D200=1,Assumptions!$B$32,0))</f>
        <v>0.57</v>
      </c>
      <c r="N200" s="0" t="n">
        <f aca="false">E200*M200</f>
        <v>21579.06</v>
      </c>
      <c r="O200" s="0" t="n">
        <f aca="false">1-POWER(J200/E200,0.1)</f>
        <v>0.116109529586196</v>
      </c>
      <c r="P200" s="0" t="n">
        <f aca="false">E200*(1+Assumptions!$B$8)+Assumptions!$B$9</f>
        <v>40150.9</v>
      </c>
      <c r="Q200" s="0" t="n">
        <f aca="false">IF(D200=1,Assumptions!$B$14*33.7,Assumptions!$B$13)</f>
        <v>3.1</v>
      </c>
      <c r="R200" s="0" t="n">
        <f aca="false">(Assumptions!$B$10/I200)*Q200</f>
        <v>837.837837837838</v>
      </c>
      <c r="S200" s="0" t="n">
        <f aca="false">Assumptions!$B$15+Assumptions!$B$17</f>
        <v>1750</v>
      </c>
      <c r="T200" s="0" t="n">
        <f aca="false">Assumptions!$B$15*(1+Assumptions!$B$16)+Assumptions!$B$17</f>
        <v>1942</v>
      </c>
      <c r="U200" s="0" t="n">
        <f aca="false">IF(OR(C200&gt;Assumptions!$B$11,Assumptions!$B$10*C200&gt;Assumptions!$B$12),1,0)</f>
        <v>0</v>
      </c>
      <c r="V200" s="0" t="n">
        <f aca="false">MAX(0.6,1-Assumptions!$B$22*MAX(0,(Assumptions!$B$10-10000)*C200)/10000)</f>
        <v>1</v>
      </c>
      <c r="W200" s="0" t="n">
        <f aca="false">IF(U200=1,Assumptions!$B$23,MAX(Assumptions!$B$23,E200*POWER(1-O200,C200)*V200))</f>
        <v>11019</v>
      </c>
      <c r="X200" s="0" t="n">
        <f aca="true">SUMPRODUCT((ROW(INDIRECT("1:"&amp;C200))&gt;Assumptions!$B$20)*Assumptions!$B$18*POWER(Assumptions!$B$19,ROW(INDIRECT("1:"&amp;C200))-Assumptions!$B$20-1)*IF(ROW(INDIRECT("1:"&amp;C200))&gt;Assumptions!$B$11,Assumptions!$B$21,1)/POWER(1+Assumptions!$B$2,ROW(INDIRECT("1:"&amp;C200))))</f>
        <v>7070.12417022456</v>
      </c>
      <c r="Y200" s="1" t="n">
        <f aca="false">-PV(Assumptions!$B$2,C200,R200+S200)+X200</f>
        <v>27347.0754432658</v>
      </c>
      <c r="Z200" s="1" t="n">
        <f aca="false">P200+Y200-(W200/POWER(1+Assumptions!$B$2,C200))</f>
        <v>60536.9156171459</v>
      </c>
      <c r="AA200" s="0" t="n">
        <f aca="false">P200*Assumptions!$B$7</f>
        <v>4015.09</v>
      </c>
      <c r="AB200" s="0" t="n">
        <f aca="false">P200-AA200</f>
        <v>36135.81</v>
      </c>
      <c r="AC200" s="1" t="n">
        <f aca="false">PMT(Assumptions!$B$5,Assumptions!$B$6,-AB200)</f>
        <v>715.361871141592</v>
      </c>
      <c r="AD200" s="0" t="n">
        <f aca="false">C200*12</f>
        <v>120</v>
      </c>
      <c r="AE200" s="0" t="n">
        <f aca="false">MIN(Assumptions!$B$6,AD200)</f>
        <v>60</v>
      </c>
      <c r="AF200" s="0" t="n">
        <f aca="false">IF(AD200&gt;=Assumptions!$B$6,0,-PV(Assumptions!$B$5,Assumptions!$B$6-AD200,AC200))</f>
        <v>0</v>
      </c>
      <c r="AG200" s="1" t="n">
        <f aca="false">AA200+(-PV(Assumptions!$B$3,AE200,AC200))+Y200-((W200-AF200)/POWER(1+Assumptions!$B$2,C200))</f>
        <v>62586.1214607046</v>
      </c>
      <c r="AH200" s="0" t="n">
        <f aca="false">H200/12</f>
        <v>3</v>
      </c>
      <c r="AI200" s="0" t="n">
        <f aca="false">MAX(0,Assumptions!$B$10-Assumptions!$B$24)*Assumptions!$B$25</f>
        <v>0</v>
      </c>
      <c r="AJ200" s="1" t="n">
        <f aca="false">F200+Assumptions!$B$27+(-PV(Assumptions!$B$3,H200-1,G200))</f>
        <v>18543.2102873583</v>
      </c>
      <c r="AK200" s="0" t="n">
        <f aca="false">CEILING(C200/AH200,1)</f>
        <v>4</v>
      </c>
      <c r="AL200" s="0" t="n">
        <f aca="false">(1+Assumptions!$B$26)/POWER(1+Assumptions!$B$2,AH200)</f>
        <v>0.906135810905202</v>
      </c>
      <c r="AM200" s="0" t="n">
        <f aca="false">IF(ABS(1-AL200)&lt;0.000000000001,AK200,(1-POWER(AL200,AK200))/(1-AL200))</f>
        <v>3.47122982028551</v>
      </c>
      <c r="AN200" s="0" t="n">
        <f aca="false">1/POWER(1+Assumptions!$B$2,AH200)</f>
        <v>0.871284433562695</v>
      </c>
      <c r="AO200" s="0" t="n">
        <f aca="false">IF(ABS(1-AN200)&lt;0.000000000001,AK200,AN200*(1-POWER(AN200,AK200))/(1-AN200))</f>
        <v>2.86813319209759</v>
      </c>
      <c r="AP200" s="1" t="n">
        <f aca="false">AJ200*AM200+Assumptions!$B$28*AO200+(-PV(Assumptions!$B$2,C200,R200+T200+AI200))</f>
        <v>87296.3611973212</v>
      </c>
      <c r="AQ200" s="0" t="n">
        <f aca="false">N200*(1+Assumptions!$B$8)</f>
        <v>22658.013</v>
      </c>
      <c r="AR200" s="1" t="n">
        <f aca="false">PMT(Assumptions!$B$5,Assumptions!$B$29,-AQ200)</f>
        <v>699.510070838118</v>
      </c>
      <c r="AS200" s="0" t="n">
        <f aca="false">MAX(0,AD200-H200)</f>
        <v>84</v>
      </c>
      <c r="AT200" s="0" t="n">
        <f aca="false">MIN(Assumptions!$B$29,AS200)</f>
        <v>36</v>
      </c>
      <c r="AU200" s="0" t="n">
        <f aca="false">IF(AS200&gt;=Assumptions!$B$29,0,-PV(Assumptions!$B$5,Assumptions!$B$29-AS200,AR200))</f>
        <v>0</v>
      </c>
      <c r="AV200" s="1" t="n">
        <f aca="false">(-PV(Assumptions!$B$3,AT200,AR200))/POWER(1+Assumptions!$B$2,AH200)</f>
        <v>20427.1442962955</v>
      </c>
      <c r="AW200" s="1" t="n">
        <f aca="false">-PV(Assumptions!$B$2,AH200,T200+AI200)</f>
        <v>5318.41766002654</v>
      </c>
      <c r="AX200" s="1" t="n">
        <f aca="false">(-PV(Assumptions!$B$2,C200,S200))-(-PV(Assumptions!$B$2,AH200,S200))</f>
        <v>8919.48888629116</v>
      </c>
      <c r="AY200" s="1" t="n">
        <f aca="false">AJ200+AW200+AX200+(-PV(Assumptions!$B$2,C200,R200))+X200-(W200/POWER(1+Assumptions!$B$2,C200))</f>
        <v>39455.042686546</v>
      </c>
      <c r="AZ200" s="1" t="n">
        <f aca="false">AY200+AV200+(AU200/POWER(1+Assumptions!$B$2,C200))</f>
        <v>59882.1869828415</v>
      </c>
      <c r="BA200" s="0" t="n">
        <f aca="false">AQ200/POWER(1+Assumptions!$B$2,AH200)</f>
        <v>19741.5740223612</v>
      </c>
      <c r="BB200" s="1" t="n">
        <f aca="false">AY200+BA200</f>
        <v>59196.6167089071</v>
      </c>
      <c r="BC200" s="1" t="n">
        <f aca="false">AJ200+Assumptions!$B$28/POWER(1+Assumptions!$B$2,AH200)+(-PV(Assumptions!$B$2,AH200,R200+T200+AI200))</f>
        <v>26504.6687820845</v>
      </c>
      <c r="BD200" s="1" t="n">
        <f aca="false">MIN(Z200,AG200,AZ200)</f>
        <v>59882.1869828415</v>
      </c>
      <c r="BE200" s="0" t="str">
        <f aca="false">IF(BD200=Z200,"Cash",IF(BD200=AG200,"Loan","Lease then buy out"))</f>
        <v>Lease then buy out</v>
      </c>
    </row>
    <row r="201" customFormat="false" ht="15" hidden="false" customHeight="false" outlineLevel="0" collapsed="false">
      <c r="A201" s="0" t="s">
        <v>48</v>
      </c>
      <c r="B201" s="0" t="s">
        <v>114</v>
      </c>
      <c r="C201" s="0" t="n">
        <v>10</v>
      </c>
      <c r="D201" s="0" t="n">
        <v>0</v>
      </c>
      <c r="E201" s="0" t="n">
        <v>41775</v>
      </c>
      <c r="F201" s="0" t="n">
        <v>3067</v>
      </c>
      <c r="G201" s="0" t="n">
        <v>567</v>
      </c>
      <c r="H201" s="0" t="n">
        <v>36</v>
      </c>
      <c r="I201" s="0" t="n">
        <v>21</v>
      </c>
      <c r="J201" s="0" t="n">
        <v>11970</v>
      </c>
      <c r="K201" s="0" t="s">
        <v>99</v>
      </c>
      <c r="L201" s="0" t="n">
        <v>176.5</v>
      </c>
      <c r="M201" s="0" t="n">
        <f aca="false">MAX(Assumptions!$B$33,Assumptions!$B$30-Assumptions!$B$31*(H201-36)-IF(D201=1,Assumptions!$B$32,0))</f>
        <v>0.57</v>
      </c>
      <c r="N201" s="0" t="n">
        <f aca="false">E201*M201</f>
        <v>23811.75</v>
      </c>
      <c r="O201" s="0" t="n">
        <f aca="false">1-POWER(J201/E201,0.1)</f>
        <v>0.117493791869951</v>
      </c>
      <c r="P201" s="0" t="n">
        <f aca="false">E201*(1+Assumptions!$B$8)+Assumptions!$B$9</f>
        <v>44263.75</v>
      </c>
      <c r="Q201" s="0" t="n">
        <f aca="false">IF(D201=1,Assumptions!$B$14*33.7,Assumptions!$B$13)</f>
        <v>3.1</v>
      </c>
      <c r="R201" s="0" t="n">
        <f aca="false">(Assumptions!$B$10/I201)*Q201</f>
        <v>1476.19047619048</v>
      </c>
      <c r="S201" s="0" t="n">
        <f aca="false">Assumptions!$B$15+Assumptions!$B$17</f>
        <v>1750</v>
      </c>
      <c r="T201" s="0" t="n">
        <f aca="false">Assumptions!$B$15*(1+Assumptions!$B$16)+Assumptions!$B$17</f>
        <v>1942</v>
      </c>
      <c r="U201" s="0" t="n">
        <f aca="false">IF(OR(C201&gt;Assumptions!$B$11,Assumptions!$B$10*C201&gt;Assumptions!$B$12),1,0)</f>
        <v>0</v>
      </c>
      <c r="V201" s="0" t="n">
        <f aca="false">MAX(0.6,1-Assumptions!$B$22*MAX(0,(Assumptions!$B$10-10000)*C201)/10000)</f>
        <v>1</v>
      </c>
      <c r="W201" s="0" t="n">
        <f aca="false">IF(U201=1,Assumptions!$B$23,MAX(Assumptions!$B$23,E201*POWER(1-O201,C201)*V201))</f>
        <v>11970</v>
      </c>
      <c r="X201" s="0" t="n">
        <f aca="true">SUMPRODUCT((ROW(INDIRECT("1:"&amp;C201))&gt;Assumptions!$B$20)*Assumptions!$B$18*POWER(Assumptions!$B$19,ROW(INDIRECT("1:"&amp;C201))-Assumptions!$B$20-1)*IF(ROW(INDIRECT("1:"&amp;C201))&gt;Assumptions!$B$11,Assumptions!$B$21,1)/POWER(1+Assumptions!$B$2,ROW(INDIRECT("1:"&amp;C201))))</f>
        <v>7070.12417022456</v>
      </c>
      <c r="Y201" s="1" t="n">
        <f aca="false">-PV(Assumptions!$B$2,C201,R201+S201)+X201</f>
        <v>32348.8746880394</v>
      </c>
      <c r="Z201" s="1" t="n">
        <f aca="false">P201+Y201-(W201/POWER(1+Assumptions!$B$2,C201))</f>
        <v>69050.7873054588</v>
      </c>
      <c r="AA201" s="0" t="n">
        <f aca="false">P201*Assumptions!$B$7</f>
        <v>4426.375</v>
      </c>
      <c r="AB201" s="0" t="n">
        <f aca="false">P201-AA201</f>
        <v>39837.375</v>
      </c>
      <c r="AC201" s="1" t="n">
        <f aca="false">PMT(Assumptions!$B$5,Assumptions!$B$6,-AB201)</f>
        <v>788.63983182802</v>
      </c>
      <c r="AD201" s="0" t="n">
        <f aca="false">C201*12</f>
        <v>120</v>
      </c>
      <c r="AE201" s="0" t="n">
        <f aca="false">MIN(Assumptions!$B$6,AD201)</f>
        <v>60</v>
      </c>
      <c r="AF201" s="0" t="n">
        <f aca="false">IF(AD201&gt;=Assumptions!$B$6,0,-PV(Assumptions!$B$5,Assumptions!$B$6-AD201,AC201))</f>
        <v>0</v>
      </c>
      <c r="AG201" s="1" t="n">
        <f aca="false">AA201+(-PV(Assumptions!$B$3,AE201,AC201))+Y201-((W201-AF201)/POWER(1+Assumptions!$B$2,C201))</f>
        <v>71309.9031698061</v>
      </c>
      <c r="AH201" s="0" t="n">
        <f aca="false">H201/12</f>
        <v>3</v>
      </c>
      <c r="AI201" s="0" t="n">
        <f aca="false">MAX(0,Assumptions!$B$10-Assumptions!$B$24)*Assumptions!$B$25</f>
        <v>0</v>
      </c>
      <c r="AJ201" s="1" t="n">
        <f aca="false">F201+Assumptions!$B$27+(-PV(Assumptions!$B$3,H201-1,G201))</f>
        <v>22278.0706862547</v>
      </c>
      <c r="AK201" s="0" t="n">
        <f aca="false">CEILING(C201/AH201,1)</f>
        <v>4</v>
      </c>
      <c r="AL201" s="0" t="n">
        <f aca="false">(1+Assumptions!$B$26)/POWER(1+Assumptions!$B$2,AH201)</f>
        <v>0.906135810905202</v>
      </c>
      <c r="AM201" s="0" t="n">
        <f aca="false">IF(ABS(1-AL201)&lt;0.000000000001,AK201,(1-POWER(AL201,AK201))/(1-AL201))</f>
        <v>3.47122982028551</v>
      </c>
      <c r="AN201" s="0" t="n">
        <f aca="false">1/POWER(1+Assumptions!$B$2,AH201)</f>
        <v>0.871284433562695</v>
      </c>
      <c r="AO201" s="0" t="n">
        <f aca="false">IF(ABS(1-AN201)&lt;0.000000000001,AK201,AN201*(1-POWER(AN201,AK201))/(1-AN201))</f>
        <v>2.86813319209759</v>
      </c>
      <c r="AP201" s="1" t="n">
        <f aca="false">AJ201*AM201+Assumptions!$B$28*AO201+(-PV(Assumptions!$B$2,C201,R201+T201+AI201))</f>
        <v>105262.719233347</v>
      </c>
      <c r="AQ201" s="0" t="n">
        <f aca="false">N201*(1+Assumptions!$B$8)</f>
        <v>25002.3375</v>
      </c>
      <c r="AR201" s="1" t="n">
        <f aca="false">PMT(Assumptions!$B$5,Assumptions!$B$29,-AQ201)</f>
        <v>771.885287370236</v>
      </c>
      <c r="AS201" s="0" t="n">
        <f aca="false">MAX(0,AD201-H201)</f>
        <v>84</v>
      </c>
      <c r="AT201" s="0" t="n">
        <f aca="false">MIN(Assumptions!$B$29,AS201)</f>
        <v>36</v>
      </c>
      <c r="AU201" s="0" t="n">
        <f aca="false">IF(AS201&gt;=Assumptions!$B$29,0,-PV(Assumptions!$B$5,Assumptions!$B$29-AS201,AR201))</f>
        <v>0</v>
      </c>
      <c r="AV201" s="1" t="n">
        <f aca="false">(-PV(Assumptions!$B$3,AT201,AR201))/POWER(1+Assumptions!$B$2,AH201)</f>
        <v>22540.6506676989</v>
      </c>
      <c r="AW201" s="1" t="n">
        <f aca="false">-PV(Assumptions!$B$2,AH201,T201+AI201)</f>
        <v>5318.41766002654</v>
      </c>
      <c r="AX201" s="1" t="n">
        <f aca="false">(-PV(Assumptions!$B$2,C201,S201))-(-PV(Assumptions!$B$2,AH201,S201))</f>
        <v>8919.48888629116</v>
      </c>
      <c r="AY201" s="1" t="n">
        <f aca="false">AJ201+AW201+AX201+(-PV(Assumptions!$B$2,C201,R201))+X201-(W201/POWER(1+Assumptions!$B$2,C201))</f>
        <v>47590.9247737553</v>
      </c>
      <c r="AZ201" s="1" t="n">
        <f aca="false">AY201+AV201+(AU201/POWER(1+Assumptions!$B$2,C201))</f>
        <v>70131.5754414542</v>
      </c>
      <c r="BA201" s="0" t="n">
        <f aca="false">AQ201/POWER(1+Assumptions!$B$2,AH201)</f>
        <v>21784.1474664308</v>
      </c>
      <c r="BB201" s="1" t="n">
        <f aca="false">AY201+BA201</f>
        <v>69375.0722401861</v>
      </c>
      <c r="BC201" s="1" t="n">
        <f aca="false">AJ201+Assumptions!$B$28/POWER(1+Assumptions!$B$2,AH201)+(-PV(Assumptions!$B$2,AH201,R201+T201+AI201))</f>
        <v>31987.7402752853</v>
      </c>
      <c r="BD201" s="1" t="n">
        <f aca="false">MIN(Z201,AG201,AZ201)</f>
        <v>69050.7873054588</v>
      </c>
      <c r="BE201" s="0" t="str">
        <f aca="false">IF(BD201=Z201,"Cash",IF(BD201=AG201,"Loan","Lease then buy out"))</f>
        <v>Cash</v>
      </c>
    </row>
    <row r="202" customFormat="false" ht="15" hidden="false" customHeight="false" outlineLevel="0" collapsed="false">
      <c r="A202" s="0" t="s">
        <v>48</v>
      </c>
      <c r="B202" s="0" t="s">
        <v>115</v>
      </c>
      <c r="C202" s="0" t="n">
        <v>10</v>
      </c>
      <c r="D202" s="0" t="n">
        <v>1</v>
      </c>
      <c r="E202" s="0" t="n">
        <v>38215</v>
      </c>
      <c r="F202" s="0" t="n">
        <v>2972</v>
      </c>
      <c r="G202" s="0" t="n">
        <v>472</v>
      </c>
      <c r="H202" s="0" t="n">
        <v>36</v>
      </c>
      <c r="I202" s="0" t="n">
        <v>111</v>
      </c>
      <c r="J202" s="0" t="n">
        <v>4466</v>
      </c>
      <c r="K202" s="0" t="s">
        <v>99</v>
      </c>
      <c r="L202" s="0" t="n">
        <v>122.6</v>
      </c>
      <c r="M202" s="0" t="n">
        <f aca="false">MAX(Assumptions!$B$33,Assumptions!$B$30-Assumptions!$B$31*(H202-36)-IF(D202=1,Assumptions!$B$32,0))</f>
        <v>0.49</v>
      </c>
      <c r="N202" s="0" t="n">
        <f aca="false">E202*M202</f>
        <v>18725.35</v>
      </c>
      <c r="O202" s="0" t="n">
        <f aca="false">1-POWER(J202/E202,0.1)</f>
        <v>0.193195177439927</v>
      </c>
      <c r="P202" s="0" t="n">
        <f aca="false">E202*(1+Assumptions!$B$8)+Assumptions!$B$9</f>
        <v>40525.75</v>
      </c>
      <c r="Q202" s="0" t="n">
        <f aca="false">IF(D202=1,Assumptions!$B$14*33.7,Assumptions!$B$13)</f>
        <v>5.729</v>
      </c>
      <c r="R202" s="0" t="n">
        <f aca="false">(Assumptions!$B$10/I202)*Q202</f>
        <v>516.126126126126</v>
      </c>
      <c r="S202" s="0" t="n">
        <f aca="false">Assumptions!$B$15+Assumptions!$B$17</f>
        <v>1750</v>
      </c>
      <c r="T202" s="0" t="n">
        <f aca="false">Assumptions!$B$15*(1+Assumptions!$B$16)+Assumptions!$B$17</f>
        <v>1942</v>
      </c>
      <c r="U202" s="0" t="n">
        <f aca="false">IF(OR(C202&gt;Assumptions!$B$11,Assumptions!$B$10*C202&gt;Assumptions!$B$12),1,0)</f>
        <v>0</v>
      </c>
      <c r="V202" s="0" t="n">
        <f aca="false">MAX(0.6,1-Assumptions!$B$22*MAX(0,(Assumptions!$B$10-10000)*C202)/10000)</f>
        <v>1</v>
      </c>
      <c r="W202" s="0" t="n">
        <f aca="false">IF(U202=1,Assumptions!$B$23,MAX(Assumptions!$B$23,E202*POWER(1-O202,C202)*V202))</f>
        <v>4466</v>
      </c>
      <c r="X202" s="0" t="n">
        <f aca="true">SUMPRODUCT((ROW(INDIRECT("1:"&amp;C202))&gt;Assumptions!$B$20)*Assumptions!$B$18*POWER(Assumptions!$B$19,ROW(INDIRECT("1:"&amp;C202))-Assumptions!$B$20-1)*IF(ROW(INDIRECT("1:"&amp;C202))&gt;Assumptions!$B$11,Assumptions!$B$21,1)/POWER(1+Assumptions!$B$2,ROW(INDIRECT("1:"&amp;C202))))</f>
        <v>7070.12417022456</v>
      </c>
      <c r="Y202" s="1" t="n">
        <f aca="false">-PV(Assumptions!$B$2,C202,R202+S202)+X202</f>
        <v>24826.3098037173</v>
      </c>
      <c r="Z202" s="1" t="n">
        <f aca="false">P202+Y202-(W202/POWER(1+Assumptions!$B$2,C202))</f>
        <v>62530.7426984037</v>
      </c>
      <c r="AA202" s="0" t="n">
        <f aca="false">P202*Assumptions!$B$7</f>
        <v>4052.575</v>
      </c>
      <c r="AB202" s="0" t="n">
        <f aca="false">P202-AA202</f>
        <v>36473.175</v>
      </c>
      <c r="AC202" s="1" t="n">
        <f aca="false">PMT(Assumptions!$B$5,Assumptions!$B$6,-AB202)</f>
        <v>722.040510908009</v>
      </c>
      <c r="AD202" s="0" t="n">
        <f aca="false">C202*12</f>
        <v>120</v>
      </c>
      <c r="AE202" s="0" t="n">
        <f aca="false">MIN(Assumptions!$B$6,AD202)</f>
        <v>60</v>
      </c>
      <c r="AF202" s="0" t="n">
        <f aca="false">IF(AD202&gt;=Assumptions!$B$6,0,-PV(Assumptions!$B$5,Assumptions!$B$6-AD202,AC202))</f>
        <v>0</v>
      </c>
      <c r="AG202" s="1" t="n">
        <f aca="false">AA202+(-PV(Assumptions!$B$3,AE202,AC202))+Y202-((W202-AF202)/POWER(1+Assumptions!$B$2,C202))</f>
        <v>64599.0799888405</v>
      </c>
      <c r="AH202" s="0" t="n">
        <f aca="false">H202/12</f>
        <v>3</v>
      </c>
      <c r="AI202" s="0" t="n">
        <f aca="false">MAX(0,Assumptions!$B$10-Assumptions!$B$24)*Assumptions!$B$25</f>
        <v>0</v>
      </c>
      <c r="AJ202" s="1" t="n">
        <f aca="false">F202+Assumptions!$B$27+(-PV(Assumptions!$B$3,H202-1,G202))</f>
        <v>19081.5685430551</v>
      </c>
      <c r="AK202" s="0" t="n">
        <f aca="false">CEILING(C202/AH202,1)</f>
        <v>4</v>
      </c>
      <c r="AL202" s="0" t="n">
        <f aca="false">(1+Assumptions!$B$26)/POWER(1+Assumptions!$B$2,AH202)</f>
        <v>0.906135810905202</v>
      </c>
      <c r="AM202" s="0" t="n">
        <f aca="false">IF(ABS(1-AL202)&lt;0.000000000001,AK202,(1-POWER(AL202,AK202))/(1-AL202))</f>
        <v>3.47122982028551</v>
      </c>
      <c r="AN202" s="0" t="n">
        <f aca="false">1/POWER(1+Assumptions!$B$2,AH202)</f>
        <v>0.871284433562695</v>
      </c>
      <c r="AO202" s="0" t="n">
        <f aca="false">IF(ABS(1-AN202)&lt;0.000000000001,AK202,AN202*(1-POWER(AN202,AK202))/(1-AN202))</f>
        <v>2.86813319209759</v>
      </c>
      <c r="AP202" s="1" t="n">
        <f aca="false">AJ202*AM202+Assumptions!$B$28*AO202+(-PV(Assumptions!$B$2,C202,R202+T202+AI202))</f>
        <v>86644.3607889442</v>
      </c>
      <c r="AQ202" s="0" t="n">
        <f aca="false">N202*(1+Assumptions!$B$8)</f>
        <v>19661.6175</v>
      </c>
      <c r="AR202" s="1" t="n">
        <f aca="false">PMT(Assumptions!$B$5,Assumptions!$B$29,-AQ202)</f>
        <v>607.00377611298</v>
      </c>
      <c r="AS202" s="0" t="n">
        <f aca="false">MAX(0,AD202-H202)</f>
        <v>84</v>
      </c>
      <c r="AT202" s="0" t="n">
        <f aca="false">MIN(Assumptions!$B$29,AS202)</f>
        <v>36</v>
      </c>
      <c r="AU202" s="0" t="n">
        <f aca="false">IF(AS202&gt;=Assumptions!$B$29,0,-PV(Assumptions!$B$5,Assumptions!$B$29-AS202,AR202))</f>
        <v>0</v>
      </c>
      <c r="AV202" s="1" t="n">
        <f aca="false">(-PV(Assumptions!$B$3,AT202,AR202))/POWER(1+Assumptions!$B$2,AH202)</f>
        <v>17725.7687058026</v>
      </c>
      <c r="AW202" s="1" t="n">
        <f aca="false">-PV(Assumptions!$B$2,AH202,T202+AI202)</f>
        <v>5318.41766002654</v>
      </c>
      <c r="AX202" s="1" t="n">
        <f aca="false">(-PV(Assumptions!$B$2,C202,S202))-(-PV(Assumptions!$B$2,AH202,S202))</f>
        <v>8919.48888629116</v>
      </c>
      <c r="AY202" s="1" t="n">
        <f aca="false">AJ202+AW202+AX202+(-PV(Assumptions!$B$2,C202,R202))+X202-(W202/POWER(1+Assumptions!$B$2,C202))</f>
        <v>41612.3780235005</v>
      </c>
      <c r="AZ202" s="1" t="n">
        <f aca="false">AY202+AV202+(AU202/POWER(1+Assumptions!$B$2,C202))</f>
        <v>59338.1467293031</v>
      </c>
      <c r="BA202" s="0" t="n">
        <f aca="false">AQ202/POWER(1+Assumptions!$B$2,AH202)</f>
        <v>17130.8612664139</v>
      </c>
      <c r="BB202" s="1" t="n">
        <f aca="false">AY202+BA202</f>
        <v>58743.2392899143</v>
      </c>
      <c r="BC202" s="1" t="n">
        <f aca="false">AJ202+Assumptions!$B$28/POWER(1+Assumptions!$B$2,AH202)+(-PV(Assumptions!$B$2,AH202,R202+T202+AI202))</f>
        <v>26161.9779909198</v>
      </c>
      <c r="BD202" s="1" t="n">
        <f aca="false">MIN(Z202,AG202,AZ202)</f>
        <v>59338.1467293031</v>
      </c>
      <c r="BE202" s="0" t="str">
        <f aca="false">IF(BD202=Z202,"Cash",IF(BD202=AG202,"Loan","Lease then buy out"))</f>
        <v>Lease then buy out</v>
      </c>
    </row>
    <row r="203" customFormat="false" ht="15" hidden="false" customHeight="false" outlineLevel="0" collapsed="false">
      <c r="A203" s="0" t="s">
        <v>103</v>
      </c>
      <c r="B203" s="0" t="s">
        <v>116</v>
      </c>
      <c r="C203" s="0" t="n">
        <v>10</v>
      </c>
      <c r="D203" s="0" t="n">
        <v>0</v>
      </c>
      <c r="E203" s="0" t="n">
        <v>23950</v>
      </c>
      <c r="F203" s="0" t="n">
        <v>3599</v>
      </c>
      <c r="G203" s="0" t="n">
        <v>249</v>
      </c>
      <c r="H203" s="0" t="n">
        <v>36</v>
      </c>
      <c r="I203" s="0" t="n">
        <v>36</v>
      </c>
      <c r="J203" s="0" t="n">
        <v>10251</v>
      </c>
      <c r="K203" s="0" t="s">
        <v>99</v>
      </c>
      <c r="L203" s="0" t="n">
        <v>112.6</v>
      </c>
      <c r="M203" s="0" t="n">
        <f aca="false">MAX(Assumptions!$B$33,Assumptions!$B$30-Assumptions!$B$31*(H203-36)-IF(D203=1,Assumptions!$B$32,0))</f>
        <v>0.57</v>
      </c>
      <c r="N203" s="0" t="n">
        <f aca="false">E203*M203</f>
        <v>13651.5</v>
      </c>
      <c r="O203" s="0" t="n">
        <f aca="false">1-POWER(J203/E203,0.1)</f>
        <v>0.0813584775287319</v>
      </c>
      <c r="P203" s="0" t="n">
        <f aca="false">E203*(1+Assumptions!$B$8)+Assumptions!$B$9</f>
        <v>25547.5</v>
      </c>
      <c r="Q203" s="0" t="n">
        <f aca="false">IF(D203=1,Assumptions!$B$14*33.7,Assumptions!$B$13)</f>
        <v>3.1</v>
      </c>
      <c r="R203" s="0" t="n">
        <f aca="false">(Assumptions!$B$10/I203)*Q203</f>
        <v>861.111111111111</v>
      </c>
      <c r="S203" s="0" t="n">
        <f aca="false">Assumptions!$B$15+Assumptions!$B$17</f>
        <v>1750</v>
      </c>
      <c r="T203" s="0" t="n">
        <f aca="false">Assumptions!$B$15*(1+Assumptions!$B$16)+Assumptions!$B$17</f>
        <v>1942</v>
      </c>
      <c r="U203" s="0" t="n">
        <f aca="false">IF(OR(C203&gt;Assumptions!$B$11,Assumptions!$B$10*C203&gt;Assumptions!$B$12),1,0)</f>
        <v>0</v>
      </c>
      <c r="V203" s="0" t="n">
        <f aca="false">MAX(0.6,1-Assumptions!$B$22*MAX(0,(Assumptions!$B$10-10000)*C203)/10000)</f>
        <v>1</v>
      </c>
      <c r="W203" s="0" t="n">
        <f aca="false">IF(U203=1,Assumptions!$B$23,MAX(Assumptions!$B$23,E203*POWER(1-O203,C203)*V203))</f>
        <v>10251</v>
      </c>
      <c r="X203" s="0" t="n">
        <f aca="true">SUMPRODUCT((ROW(INDIRECT("1:"&amp;C203))&gt;Assumptions!$B$20)*Assumptions!$B$18*POWER(Assumptions!$B$19,ROW(INDIRECT("1:"&amp;C203))-Assumptions!$B$20-1)*IF(ROW(INDIRECT("1:"&amp;C203))&gt;Assumptions!$B$11,Assumptions!$B$21,1)/POWER(1+Assumptions!$B$2,ROW(INDIRECT("1:"&amp;C203))))</f>
        <v>7070.12417022456</v>
      </c>
      <c r="Y203" s="1" t="n">
        <f aca="false">-PV(Assumptions!$B$2,C203,R203+S203)+X203</f>
        <v>27529.4327073982</v>
      </c>
      <c r="Z203" s="1" t="n">
        <f aca="false">P203+Y203-(W203/POWER(1+Assumptions!$B$2,C203))</f>
        <v>46601.0434000604</v>
      </c>
      <c r="AA203" s="0" t="n">
        <f aca="false">P203*Assumptions!$B$7</f>
        <v>2554.75</v>
      </c>
      <c r="AB203" s="0" t="n">
        <f aca="false">P203-AA203</f>
        <v>22992.75</v>
      </c>
      <c r="AC203" s="1" t="n">
        <f aca="false">PMT(Assumptions!$B$5,Assumptions!$B$6,-AB203)</f>
        <v>455.175535367572</v>
      </c>
      <c r="AD203" s="0" t="n">
        <f aca="false">C203*12</f>
        <v>120</v>
      </c>
      <c r="AE203" s="0" t="n">
        <f aca="false">MIN(Assumptions!$B$6,AD203)</f>
        <v>60</v>
      </c>
      <c r="AF203" s="0" t="n">
        <f aca="false">IF(AD203&gt;=Assumptions!$B$6,0,-PV(Assumptions!$B$5,Assumptions!$B$6-AD203,AC203))</f>
        <v>0</v>
      </c>
      <c r="AG203" s="1" t="n">
        <f aca="false">AA203+(-PV(Assumptions!$B$3,AE203,AC203))+Y203-((W203-AF203)/POWER(1+Assumptions!$B$2,C203))</f>
        <v>47904.9266576789</v>
      </c>
      <c r="AH203" s="0" t="n">
        <f aca="false">H203/12</f>
        <v>3</v>
      </c>
      <c r="AI203" s="0" t="n">
        <f aca="false">MAX(0,Assumptions!$B$10-Assumptions!$B$24)*Assumptions!$B$25</f>
        <v>0</v>
      </c>
      <c r="AJ203" s="1" t="n">
        <f aca="false">F203+Assumptions!$B$27+(-PV(Assumptions!$B$3,H203-1,G203))</f>
        <v>12428.2003542812</v>
      </c>
      <c r="AK203" s="0" t="n">
        <f aca="false">CEILING(C203/AH203,1)</f>
        <v>4</v>
      </c>
      <c r="AL203" s="0" t="n">
        <f aca="false">(1+Assumptions!$B$26)/POWER(1+Assumptions!$B$2,AH203)</f>
        <v>0.906135810905202</v>
      </c>
      <c r="AM203" s="0" t="n">
        <f aca="false">IF(ABS(1-AL203)&lt;0.000000000001,AK203,(1-POWER(AL203,AK203))/(1-AL203))</f>
        <v>3.47122982028551</v>
      </c>
      <c r="AN203" s="0" t="n">
        <f aca="false">1/POWER(1+Assumptions!$B$2,AH203)</f>
        <v>0.871284433562695</v>
      </c>
      <c r="AO203" s="0" t="n">
        <f aca="false">IF(ABS(1-AN203)&lt;0.000000000001,AK203,AN203*(1-POWER(AN203,AK203))/(1-AN203))</f>
        <v>2.86813319209759</v>
      </c>
      <c r="AP203" s="1" t="n">
        <f aca="false">AJ203*AM203+Assumptions!$B$28*AO203+(-PV(Assumptions!$B$2,C203,R203+T203+AI203))</f>
        <v>66252.1136304141</v>
      </c>
      <c r="AQ203" s="0" t="n">
        <f aca="false">N203*(1+Assumptions!$B$8)</f>
        <v>14334.075</v>
      </c>
      <c r="AR203" s="1" t="n">
        <f aca="false">PMT(Assumptions!$B$5,Assumptions!$B$29,-AQ203)</f>
        <v>442.529087552774</v>
      </c>
      <c r="AS203" s="0" t="n">
        <f aca="false">MAX(0,AD203-H203)</f>
        <v>84</v>
      </c>
      <c r="AT203" s="0" t="n">
        <f aca="false">MIN(Assumptions!$B$29,AS203)</f>
        <v>36</v>
      </c>
      <c r="AU203" s="0" t="n">
        <f aca="false">IF(AS203&gt;=Assumptions!$B$29,0,-PV(Assumptions!$B$5,Assumptions!$B$29-AS203,AR203))</f>
        <v>0</v>
      </c>
      <c r="AV203" s="1" t="n">
        <f aca="false">(-PV(Assumptions!$B$3,AT203,AR203))/POWER(1+Assumptions!$B$2,AH203)</f>
        <v>12922.7668100871</v>
      </c>
      <c r="AW203" s="1" t="n">
        <f aca="false">-PV(Assumptions!$B$2,AH203,T203+AI203)</f>
        <v>5318.41766002654</v>
      </c>
      <c r="AX203" s="1" t="n">
        <f aca="false">(-PV(Assumptions!$B$2,C203,S203))-(-PV(Assumptions!$B$2,AH203,S203))</f>
        <v>8919.48888629116</v>
      </c>
      <c r="AY203" s="1" t="n">
        <f aca="false">AJ203+AW203+AX203+(-PV(Assumptions!$B$2,C203,R203))+X203-(W203/POWER(1+Assumptions!$B$2,C203))</f>
        <v>34007.5605363833</v>
      </c>
      <c r="AZ203" s="1" t="n">
        <f aca="false">AY203+AV203+(AU203/POWER(1+Assumptions!$B$2,C203))</f>
        <v>46930.3273464704</v>
      </c>
      <c r="BA203" s="0" t="n">
        <f aca="false">AQ203/POWER(1+Assumptions!$B$2,AH203)</f>
        <v>12489.0564170202</v>
      </c>
      <c r="BB203" s="1" t="n">
        <f aca="false">AY203+BA203</f>
        <v>46496.6169534035</v>
      </c>
      <c r="BC203" s="1" t="n">
        <f aca="false">AJ203+Assumptions!$B$28/POWER(1+Assumptions!$B$2,AH203)+(-PV(Assumptions!$B$2,AH203,R203+T203+AI203))</f>
        <v>20453.3957118205</v>
      </c>
      <c r="BD203" s="1" t="n">
        <f aca="false">MIN(Z203,AG203,AZ203)</f>
        <v>46601.0434000604</v>
      </c>
      <c r="BE203" s="0" t="str">
        <f aca="false">IF(BD203=Z203,"Cash",IF(BD203=AG203,"Loan","Lease then buy out"))</f>
        <v>Cash</v>
      </c>
    </row>
    <row r="204" customFormat="false" ht="15" hidden="false" customHeight="false" outlineLevel="0" collapsed="false">
      <c r="A204" s="0" t="s">
        <v>58</v>
      </c>
      <c r="B204" s="0" t="s">
        <v>117</v>
      </c>
      <c r="C204" s="0" t="n">
        <v>10</v>
      </c>
      <c r="D204" s="0" t="n">
        <v>0</v>
      </c>
      <c r="E204" s="0" t="n">
        <v>27950</v>
      </c>
      <c r="F204" s="0" t="n">
        <v>3999</v>
      </c>
      <c r="G204" s="0" t="n">
        <v>299</v>
      </c>
      <c r="H204" s="0" t="n">
        <v>36</v>
      </c>
      <c r="I204" s="0" t="n">
        <v>51</v>
      </c>
      <c r="J204" s="0" t="n">
        <v>10055</v>
      </c>
      <c r="K204" s="0" t="s">
        <v>99</v>
      </c>
      <c r="L204" s="0" t="n">
        <v>120.7</v>
      </c>
      <c r="M204" s="0" t="n">
        <f aca="false">MAX(Assumptions!$B$33,Assumptions!$B$30-Assumptions!$B$31*(H204-36)-IF(D204=1,Assumptions!$B$32,0))</f>
        <v>0.57</v>
      </c>
      <c r="N204" s="0" t="n">
        <f aca="false">E204*M204</f>
        <v>15931.5</v>
      </c>
      <c r="O204" s="0" t="n">
        <f aca="false">1-POWER(J204/E204,0.1)</f>
        <v>0.0971823804211457</v>
      </c>
      <c r="P204" s="0" t="n">
        <f aca="false">E204*(1+Assumptions!$B$8)+Assumptions!$B$9</f>
        <v>29747.5</v>
      </c>
      <c r="Q204" s="0" t="n">
        <f aca="false">IF(D204=1,Assumptions!$B$14*33.7,Assumptions!$B$13)</f>
        <v>3.1</v>
      </c>
      <c r="R204" s="0" t="n">
        <f aca="false">(Assumptions!$B$10/I204)*Q204</f>
        <v>607.843137254902</v>
      </c>
      <c r="S204" s="0" t="n">
        <f aca="false">Assumptions!$B$15+Assumptions!$B$17</f>
        <v>1750</v>
      </c>
      <c r="T204" s="0" t="n">
        <f aca="false">Assumptions!$B$15*(1+Assumptions!$B$16)+Assumptions!$B$17</f>
        <v>1942</v>
      </c>
      <c r="U204" s="0" t="n">
        <f aca="false">IF(OR(C204&gt;Assumptions!$B$11,Assumptions!$B$10*C204&gt;Assumptions!$B$12),1,0)</f>
        <v>0</v>
      </c>
      <c r="V204" s="0" t="n">
        <f aca="false">MAX(0.6,1-Assumptions!$B$22*MAX(0,(Assumptions!$B$10-10000)*C204)/10000)</f>
        <v>1</v>
      </c>
      <c r="W204" s="0" t="n">
        <f aca="false">IF(U204=1,Assumptions!$B$23,MAX(Assumptions!$B$23,E204*POWER(1-O204,C204)*V204))</f>
        <v>10055</v>
      </c>
      <c r="X204" s="0" t="n">
        <f aca="true">SUMPRODUCT((ROW(INDIRECT("1:"&amp;C204))&gt;Assumptions!$B$20)*Assumptions!$B$18*POWER(Assumptions!$B$19,ROW(INDIRECT("1:"&amp;C204))-Assumptions!$B$20-1)*IF(ROW(INDIRECT("1:"&amp;C204))&gt;Assumptions!$B$11,Assumptions!$B$21,1)/POWER(1+Assumptions!$B$2,ROW(INDIRECT("1:"&amp;C204))))</f>
        <v>7070.12417022456</v>
      </c>
      <c r="Y204" s="1" t="n">
        <f aca="false">-PV(Assumptions!$B$2,C204,R204+S204)+X204</f>
        <v>25544.9565977224</v>
      </c>
      <c r="Z204" s="1" t="n">
        <f aca="false">P204+Y204-(W204/POWER(1+Assumptions!$B$2,C204))</f>
        <v>48940.3868498655</v>
      </c>
      <c r="AA204" s="0" t="n">
        <f aca="false">P204*Assumptions!$B$7</f>
        <v>2974.75</v>
      </c>
      <c r="AB204" s="0" t="n">
        <f aca="false">P204-AA204</f>
        <v>26772.75</v>
      </c>
      <c r="AC204" s="1" t="n">
        <f aca="false">PMT(Assumptions!$B$5,Assumptions!$B$6,-AB204)</f>
        <v>530.006233030505</v>
      </c>
      <c r="AD204" s="0" t="n">
        <f aca="false">C204*12</f>
        <v>120</v>
      </c>
      <c r="AE204" s="0" t="n">
        <f aca="false">MIN(Assumptions!$B$6,AD204)</f>
        <v>60</v>
      </c>
      <c r="AF204" s="0" t="n">
        <f aca="false">IF(AD204&gt;=Assumptions!$B$6,0,-PV(Assumptions!$B$5,Assumptions!$B$6-AD204,AC204))</f>
        <v>0</v>
      </c>
      <c r="AG204" s="1" t="n">
        <f aca="false">AA204+(-PV(Assumptions!$B$3,AE204,AC204))+Y204-((W204-AF204)/POWER(1+Assumptions!$B$2,C204))</f>
        <v>50458.628055698</v>
      </c>
      <c r="AH204" s="0" t="n">
        <f aca="false">H204/12</f>
        <v>3</v>
      </c>
      <c r="AI204" s="0" t="n">
        <f aca="false">MAX(0,Assumptions!$B$10-Assumptions!$B$24)*Assumptions!$B$25</f>
        <v>0</v>
      </c>
      <c r="AJ204" s="1" t="n">
        <f aca="false">F204+Assumptions!$B$27+(-PV(Assumptions!$B$3,H204-1,G204))</f>
        <v>14460.5699033336</v>
      </c>
      <c r="AK204" s="0" t="n">
        <f aca="false">CEILING(C204/AH204,1)</f>
        <v>4</v>
      </c>
      <c r="AL204" s="0" t="n">
        <f aca="false">(1+Assumptions!$B$26)/POWER(1+Assumptions!$B$2,AH204)</f>
        <v>0.906135810905202</v>
      </c>
      <c r="AM204" s="0" t="n">
        <f aca="false">IF(ABS(1-AL204)&lt;0.000000000001,AK204,(1-POWER(AL204,AK204))/(1-AL204))</f>
        <v>3.47122982028551</v>
      </c>
      <c r="AN204" s="0" t="n">
        <f aca="false">1/POWER(1+Assumptions!$B$2,AH204)</f>
        <v>0.871284433562695</v>
      </c>
      <c r="AO204" s="0" t="n">
        <f aca="false">IF(ABS(1-AN204)&lt;0.000000000001,AK204,AN204*(1-POWER(AN204,AK204))/(1-AN204))</f>
        <v>2.86813319209759</v>
      </c>
      <c r="AP204" s="1" t="n">
        <f aca="false">AJ204*AM204+Assumptions!$B$28*AO204+(-PV(Assumptions!$B$2,C204,R204+T204+AI204))</f>
        <v>71322.4593052494</v>
      </c>
      <c r="AQ204" s="0" t="n">
        <f aca="false">N204*(1+Assumptions!$B$8)</f>
        <v>16728.075</v>
      </c>
      <c r="AR204" s="1" t="n">
        <f aca="false">PMT(Assumptions!$B$5,Assumptions!$B$29,-AQ204)</f>
        <v>516.437912196244</v>
      </c>
      <c r="AS204" s="0" t="n">
        <f aca="false">MAX(0,AD204-H204)</f>
        <v>84</v>
      </c>
      <c r="AT204" s="0" t="n">
        <f aca="false">MIN(Assumptions!$B$29,AS204)</f>
        <v>36</v>
      </c>
      <c r="AU204" s="0" t="n">
        <f aca="false">IF(AS204&gt;=Assumptions!$B$29,0,-PV(Assumptions!$B$5,Assumptions!$B$29-AS204,AR204))</f>
        <v>0</v>
      </c>
      <c r="AV204" s="1" t="n">
        <f aca="false">(-PV(Assumptions!$B$3,AT204,AR204))/POWER(1+Assumptions!$B$2,AH204)</f>
        <v>15081.0577178261</v>
      </c>
      <c r="AW204" s="1" t="n">
        <f aca="false">-PV(Assumptions!$B$2,AH204,T204+AI204)</f>
        <v>5318.41766002654</v>
      </c>
      <c r="AX204" s="1" t="n">
        <f aca="false">(-PV(Assumptions!$B$2,C204,S204))-(-PV(Assumptions!$B$2,AH204,S204))</f>
        <v>8919.48888629116</v>
      </c>
      <c r="AY204" s="1" t="n">
        <f aca="false">AJ204+AW204+AX204+(-PV(Assumptions!$B$2,C204,R204))+X204-(W204/POWER(1+Assumptions!$B$2,C204))</f>
        <v>34179.2735352408</v>
      </c>
      <c r="AZ204" s="1" t="n">
        <f aca="false">AY204+AV204+(AU204/POWER(1+Assumptions!$B$2,C204))</f>
        <v>49260.3312530669</v>
      </c>
      <c r="BA204" s="0" t="n">
        <f aca="false">AQ204/POWER(1+Assumptions!$B$2,AH204)</f>
        <v>14574.9113509693</v>
      </c>
      <c r="BB204" s="1" t="n">
        <f aca="false">AY204+BA204</f>
        <v>48754.1848862101</v>
      </c>
      <c r="BC204" s="1" t="n">
        <f aca="false">AJ204+Assumptions!$B$28/POWER(1+Assumptions!$B$2,AH204)+(-PV(Assumptions!$B$2,AH204,R204+T204+AI204))</f>
        <v>21792.1582243766</v>
      </c>
      <c r="BD204" s="1" t="n">
        <f aca="false">MIN(Z204,AG204,AZ204)</f>
        <v>48940.3868498655</v>
      </c>
      <c r="BE204" s="0" t="str">
        <f aca="false">IF(BD204=Z204,"Cash",IF(BD204=AG204,"Loan","Lease then buy out"))</f>
        <v>Cash</v>
      </c>
    </row>
    <row r="205" customFormat="false" ht="15" hidden="false" customHeight="false" outlineLevel="0" collapsed="false">
      <c r="A205" s="0" t="s">
        <v>118</v>
      </c>
      <c r="B205" s="0" t="s">
        <v>119</v>
      </c>
      <c r="C205" s="0" t="n">
        <v>10</v>
      </c>
      <c r="D205" s="0" t="n">
        <v>0</v>
      </c>
      <c r="E205" s="0" t="n">
        <v>35800</v>
      </c>
      <c r="F205" s="0" t="n">
        <v>3820</v>
      </c>
      <c r="G205" s="0" t="n">
        <v>426</v>
      </c>
      <c r="H205" s="0" t="n">
        <v>36</v>
      </c>
      <c r="I205" s="0" t="n">
        <v>32</v>
      </c>
      <c r="J205" s="0" t="n">
        <v>10148</v>
      </c>
      <c r="K205" s="0" t="s">
        <v>99</v>
      </c>
      <c r="L205" s="0" t="n">
        <v>121.6</v>
      </c>
      <c r="M205" s="0" t="n">
        <f aca="false">MAX(Assumptions!$B$33,Assumptions!$B$30-Assumptions!$B$31*(H205-36)-IF(D205=1,Assumptions!$B$32,0))</f>
        <v>0.57</v>
      </c>
      <c r="N205" s="0" t="n">
        <f aca="false">E205*M205</f>
        <v>20406</v>
      </c>
      <c r="O205" s="0" t="n">
        <f aca="false">1-POWER(J205/E205,0.1)</f>
        <v>0.11844432977423</v>
      </c>
      <c r="P205" s="0" t="n">
        <f aca="false">E205*(1+Assumptions!$B$8)+Assumptions!$B$9</f>
        <v>37990</v>
      </c>
      <c r="Q205" s="0" t="n">
        <f aca="false">IF(D205=1,Assumptions!$B$14*33.7,Assumptions!$B$13)</f>
        <v>3.1</v>
      </c>
      <c r="R205" s="0" t="n">
        <f aca="false">(Assumptions!$B$10/I205)*Q205</f>
        <v>968.75</v>
      </c>
      <c r="S205" s="0" t="n">
        <f aca="false">Assumptions!$B$15+Assumptions!$B$17</f>
        <v>1750</v>
      </c>
      <c r="T205" s="0" t="n">
        <f aca="false">Assumptions!$B$15*(1+Assumptions!$B$16)+Assumptions!$B$17</f>
        <v>1942</v>
      </c>
      <c r="U205" s="0" t="n">
        <f aca="false">IF(OR(C205&gt;Assumptions!$B$11,Assumptions!$B$10*C205&gt;Assumptions!$B$12),1,0)</f>
        <v>0</v>
      </c>
      <c r="V205" s="0" t="n">
        <f aca="false">MAX(0.6,1-Assumptions!$B$22*MAX(0,(Assumptions!$B$10-10000)*C205)/10000)</f>
        <v>1</v>
      </c>
      <c r="W205" s="0" t="n">
        <f aca="false">IF(U205=1,Assumptions!$B$23,MAX(Assumptions!$B$23,E205*POWER(1-O205,C205)*V205))</f>
        <v>10148</v>
      </c>
      <c r="X205" s="0" t="n">
        <f aca="true">SUMPRODUCT((ROW(INDIRECT("1:"&amp;C205))&gt;Assumptions!$B$20)*Assumptions!$B$18*POWER(Assumptions!$B$19,ROW(INDIRECT("1:"&amp;C205))-Assumptions!$B$20-1)*IF(ROW(INDIRECT("1:"&amp;C205))&gt;Assumptions!$B$11,Assumptions!$B$21,1)/POWER(1+Assumptions!$B$2,ROW(INDIRECT("1:"&amp;C205))))</f>
        <v>7070.12417022456</v>
      </c>
      <c r="Y205" s="1" t="n">
        <f aca="false">-PV(Assumptions!$B$2,C205,R205+S205)+X205</f>
        <v>28372.8350540104</v>
      </c>
      <c r="Z205" s="1" t="n">
        <f aca="false">P205+Y205-(W205/POWER(1+Assumptions!$B$2,C205))</f>
        <v>59952.0141886447</v>
      </c>
      <c r="AA205" s="0" t="n">
        <f aca="false">P205*Assumptions!$B$7</f>
        <v>3799</v>
      </c>
      <c r="AB205" s="0" t="n">
        <f aca="false">P205-AA205</f>
        <v>34191</v>
      </c>
      <c r="AC205" s="1" t="n">
        <f aca="false">PMT(Assumptions!$B$5,Assumptions!$B$6,-AB205)</f>
        <v>676.861477194013</v>
      </c>
      <c r="AD205" s="0" t="n">
        <f aca="false">C205*12</f>
        <v>120</v>
      </c>
      <c r="AE205" s="0" t="n">
        <f aca="false">MIN(Assumptions!$B$6,AD205)</f>
        <v>60</v>
      </c>
      <c r="AF205" s="0" t="n">
        <f aca="false">IF(AD205&gt;=Assumptions!$B$6,0,-PV(Assumptions!$B$5,Assumptions!$B$6-AD205,AC205))</f>
        <v>0</v>
      </c>
      <c r="AG205" s="1" t="n">
        <f aca="false">AA205+(-PV(Assumptions!$B$3,AE205,AC205))+Y205-((W205-AF205)/POWER(1+Assumptions!$B$2,C205))</f>
        <v>61890.9328678473</v>
      </c>
      <c r="AH205" s="0" t="n">
        <f aca="false">H205/12</f>
        <v>3</v>
      </c>
      <c r="AI205" s="0" t="n">
        <f aca="false">MAX(0,Assumptions!$B$10-Assumptions!$B$24)*Assumptions!$B$25</f>
        <v>0</v>
      </c>
      <c r="AJ205" s="1" t="n">
        <f aca="false">F205+Assumptions!$B$27+(-PV(Assumptions!$B$3,H205-1,G205))</f>
        <v>18427.7885579268</v>
      </c>
      <c r="AK205" s="0" t="n">
        <f aca="false">CEILING(C205/AH205,1)</f>
        <v>4</v>
      </c>
      <c r="AL205" s="0" t="n">
        <f aca="false">(1+Assumptions!$B$26)/POWER(1+Assumptions!$B$2,AH205)</f>
        <v>0.906135810905202</v>
      </c>
      <c r="AM205" s="0" t="n">
        <f aca="false">IF(ABS(1-AL205)&lt;0.000000000001,AK205,(1-POWER(AL205,AK205))/(1-AL205))</f>
        <v>3.47122982028551</v>
      </c>
      <c r="AN205" s="0" t="n">
        <f aca="false">1/POWER(1+Assumptions!$B$2,AH205)</f>
        <v>0.871284433562695</v>
      </c>
      <c r="AO205" s="0" t="n">
        <f aca="false">IF(ABS(1-AN205)&lt;0.000000000001,AK205,AN205*(1-POWER(AN205,AK205))/(1-AN205))</f>
        <v>2.86813319209759</v>
      </c>
      <c r="AP205" s="1" t="n">
        <f aca="false">AJ205*AM205+Assumptions!$B$28*AO205+(-PV(Assumptions!$B$2,C205,R205+T205+AI205))</f>
        <v>87921.4654589543</v>
      </c>
      <c r="AQ205" s="0" t="n">
        <f aca="false">N205*(1+Assumptions!$B$8)</f>
        <v>21426.3</v>
      </c>
      <c r="AR205" s="1" t="n">
        <f aca="false">PMT(Assumptions!$B$5,Assumptions!$B$29,-AQ205)</f>
        <v>661.483980559053</v>
      </c>
      <c r="AS205" s="0" t="n">
        <f aca="false">MAX(0,AD205-H205)</f>
        <v>84</v>
      </c>
      <c r="AT205" s="0" t="n">
        <f aca="false">MIN(Assumptions!$B$29,AS205)</f>
        <v>36</v>
      </c>
      <c r="AU205" s="0" t="n">
        <f aca="false">IF(AS205&gt;=Assumptions!$B$29,0,-PV(Assumptions!$B$5,Assumptions!$B$29-AS205,AR205))</f>
        <v>0</v>
      </c>
      <c r="AV205" s="1" t="n">
        <f aca="false">(-PV(Assumptions!$B$3,AT205,AR205))/POWER(1+Assumptions!$B$2,AH205)</f>
        <v>19316.7036242638</v>
      </c>
      <c r="AW205" s="1" t="n">
        <f aca="false">-PV(Assumptions!$B$2,AH205,T205+AI205)</f>
        <v>5318.41766002654</v>
      </c>
      <c r="AX205" s="1" t="n">
        <f aca="false">(-PV(Assumptions!$B$2,C205,S205))-(-PV(Assumptions!$B$2,AH205,S205))</f>
        <v>8919.48888629116</v>
      </c>
      <c r="AY205" s="1" t="n">
        <f aca="false">AJ205+AW205+AX205+(-PV(Assumptions!$B$2,C205,R205))+X205-(W205/POWER(1+Assumptions!$B$2,C205))</f>
        <v>40915.6195286133</v>
      </c>
      <c r="AZ205" s="1" t="n">
        <f aca="false">AY205+AV205+(AU205/POWER(1+Assumptions!$B$2,C205))</f>
        <v>60232.3231528771</v>
      </c>
      <c r="BA205" s="0" t="n">
        <f aca="false">AQ205/POWER(1+Assumptions!$B$2,AH205)</f>
        <v>18668.4016588444</v>
      </c>
      <c r="BB205" s="1" t="n">
        <f aca="false">AY205+BA205</f>
        <v>59584.0211874576</v>
      </c>
      <c r="BC205" s="1" t="n">
        <f aca="false">AJ205+Assumptions!$B$28/POWER(1+Assumptions!$B$2,AH205)+(-PV(Assumptions!$B$2,AH205,R205+T205+AI205))</f>
        <v>26747.7669059772</v>
      </c>
      <c r="BD205" s="1" t="n">
        <f aca="false">MIN(Z205,AG205,AZ205)</f>
        <v>59952.0141886447</v>
      </c>
      <c r="BE205" s="0" t="str">
        <f aca="false">IF(BD205=Z205,"Cash",IF(BD205=AG205,"Loan","Lease then buy out"))</f>
        <v>Cash</v>
      </c>
    </row>
    <row r="206" customFormat="false" ht="15" hidden="false" customHeight="false" outlineLevel="0" collapsed="false">
      <c r="A206" s="0" t="s">
        <v>58</v>
      </c>
      <c r="B206" s="0" t="s">
        <v>120</v>
      </c>
      <c r="C206" s="0" t="n">
        <v>10</v>
      </c>
      <c r="D206" s="0" t="n">
        <v>0</v>
      </c>
      <c r="E206" s="0" t="n">
        <v>34070</v>
      </c>
      <c r="F206" s="0" t="n">
        <v>2928</v>
      </c>
      <c r="G206" s="0" t="n">
        <v>428</v>
      </c>
      <c r="H206" s="0" t="n">
        <v>36</v>
      </c>
      <c r="I206" s="0" t="n">
        <v>55</v>
      </c>
      <c r="J206" s="0" t="n">
        <v>12843</v>
      </c>
      <c r="K206" s="0" t="s">
        <v>99</v>
      </c>
      <c r="L206" s="0" t="n">
        <v>137.4</v>
      </c>
      <c r="M206" s="0" t="n">
        <f aca="false">MAX(Assumptions!$B$33,Assumptions!$B$30-Assumptions!$B$31*(H206-36)-IF(D206=1,Assumptions!$B$32,0))</f>
        <v>0.57</v>
      </c>
      <c r="N206" s="0" t="n">
        <f aca="false">E206*M206</f>
        <v>19419.9</v>
      </c>
      <c r="O206" s="0" t="n">
        <f aca="false">1-POWER(J206/E206,0.1)</f>
        <v>0.0929537442850482</v>
      </c>
      <c r="P206" s="0" t="n">
        <f aca="false">E206*(1+Assumptions!$B$8)+Assumptions!$B$9</f>
        <v>36173.5</v>
      </c>
      <c r="Q206" s="0" t="n">
        <f aca="false">IF(D206=1,Assumptions!$B$14*33.7,Assumptions!$B$13)</f>
        <v>3.1</v>
      </c>
      <c r="R206" s="0" t="n">
        <f aca="false">(Assumptions!$B$10/I206)*Q206</f>
        <v>563.636363636364</v>
      </c>
      <c r="S206" s="0" t="n">
        <f aca="false">Assumptions!$B$15+Assumptions!$B$17</f>
        <v>1750</v>
      </c>
      <c r="T206" s="0" t="n">
        <f aca="false">Assumptions!$B$15*(1+Assumptions!$B$16)+Assumptions!$B$17</f>
        <v>1942</v>
      </c>
      <c r="U206" s="0" t="n">
        <f aca="false">IF(OR(C206&gt;Assumptions!$B$11,Assumptions!$B$10*C206&gt;Assumptions!$B$12),1,0)</f>
        <v>0</v>
      </c>
      <c r="V206" s="0" t="n">
        <f aca="false">MAX(0.6,1-Assumptions!$B$22*MAX(0,(Assumptions!$B$10-10000)*C206)/10000)</f>
        <v>1</v>
      </c>
      <c r="W206" s="0" t="n">
        <f aca="false">IF(U206=1,Assumptions!$B$23,MAX(Assumptions!$B$23,E206*POWER(1-O206,C206)*V206))</f>
        <v>12843</v>
      </c>
      <c r="X206" s="0" t="n">
        <f aca="true">SUMPRODUCT((ROW(INDIRECT("1:"&amp;C206))&gt;Assumptions!$B$20)*Assumptions!$B$18*POWER(Assumptions!$B$19,ROW(INDIRECT("1:"&amp;C206))-Assumptions!$B$20-1)*IF(ROW(INDIRECT("1:"&amp;C206))&gt;Assumptions!$B$11,Assumptions!$B$21,1)/POWER(1+Assumptions!$B$2,ROW(INDIRECT("1:"&amp;C206))))</f>
        <v>7070.12417022456</v>
      </c>
      <c r="Y206" s="1" t="n">
        <f aca="false">-PV(Assumptions!$B$2,C206,R206+S206)+X206</f>
        <v>25198.5753131244</v>
      </c>
      <c r="Z206" s="1" t="n">
        <f aca="false">P206+Y206-(W206/POWER(1+Assumptions!$B$2,C206))</f>
        <v>53258.735504897</v>
      </c>
      <c r="AA206" s="0" t="n">
        <f aca="false">P206*Assumptions!$B$7</f>
        <v>3617.35</v>
      </c>
      <c r="AB206" s="0" t="n">
        <f aca="false">P206-AA206</f>
        <v>32556.15</v>
      </c>
      <c r="AC206" s="1" t="n">
        <f aca="false">PMT(Assumptions!$B$5,Assumptions!$B$6,-AB206)</f>
        <v>644.497200454794</v>
      </c>
      <c r="AD206" s="0" t="n">
        <f aca="false">C206*12</f>
        <v>120</v>
      </c>
      <c r="AE206" s="0" t="n">
        <f aca="false">MIN(Assumptions!$B$6,AD206)</f>
        <v>60</v>
      </c>
      <c r="AF206" s="0" t="n">
        <f aca="false">IF(AD206&gt;=Assumptions!$B$6,0,-PV(Assumptions!$B$5,Assumptions!$B$6-AD206,AC206))</f>
        <v>0</v>
      </c>
      <c r="AG206" s="1" t="n">
        <f aca="false">AA206+(-PV(Assumptions!$B$3,AE206,AC206))+Y206-((W206-AF206)/POWER(1+Assumptions!$B$2,C206))</f>
        <v>55104.9443714971</v>
      </c>
      <c r="AH206" s="0" t="n">
        <f aca="false">H206/12</f>
        <v>3</v>
      </c>
      <c r="AI206" s="0" t="n">
        <f aca="false">MAX(0,Assumptions!$B$10-Assumptions!$B$24)*Assumptions!$B$25</f>
        <v>0</v>
      </c>
      <c r="AJ206" s="1" t="n">
        <f aca="false">F206+Assumptions!$B$27+(-PV(Assumptions!$B$3,H206-1,G206))</f>
        <v>17601.0833398889</v>
      </c>
      <c r="AK206" s="0" t="n">
        <f aca="false">CEILING(C206/AH206,1)</f>
        <v>4</v>
      </c>
      <c r="AL206" s="0" t="n">
        <f aca="false">(1+Assumptions!$B$26)/POWER(1+Assumptions!$B$2,AH206)</f>
        <v>0.906135810905202</v>
      </c>
      <c r="AM206" s="0" t="n">
        <f aca="false">IF(ABS(1-AL206)&lt;0.000000000001,AK206,(1-POWER(AL206,AK206))/(1-AL206))</f>
        <v>3.47122982028551</v>
      </c>
      <c r="AN206" s="0" t="n">
        <f aca="false">1/POWER(1+Assumptions!$B$2,AH206)</f>
        <v>0.871284433562695</v>
      </c>
      <c r="AO206" s="0" t="n">
        <f aca="false">IF(ABS(1-AN206)&lt;0.000000000001,AK206,AN206*(1-POWER(AN206,AK206))/(1-AN206))</f>
        <v>2.86813319209759</v>
      </c>
      <c r="AP206" s="1" t="n">
        <f aca="false">AJ206*AM206+Assumptions!$B$28*AO206+(-PV(Assumptions!$B$2,C206,R206+T206+AI206))</f>
        <v>81877.5219126296</v>
      </c>
      <c r="AQ206" s="0" t="n">
        <f aca="false">N206*(1+Assumptions!$B$8)</f>
        <v>20390.895</v>
      </c>
      <c r="AR206" s="1" t="n">
        <f aca="false">PMT(Assumptions!$B$5,Assumptions!$B$29,-AQ206)</f>
        <v>629.518413900753</v>
      </c>
      <c r="AS206" s="0" t="n">
        <f aca="false">MAX(0,AD206-H206)</f>
        <v>84</v>
      </c>
      <c r="AT206" s="0" t="n">
        <f aca="false">MIN(Assumptions!$B$29,AS206)</f>
        <v>36</v>
      </c>
      <c r="AU206" s="0" t="n">
        <f aca="false">IF(AS206&gt;=Assumptions!$B$29,0,-PV(Assumptions!$B$5,Assumptions!$B$29-AS206,AR206))</f>
        <v>0</v>
      </c>
      <c r="AV206" s="1" t="n">
        <f aca="false">(-PV(Assumptions!$B$3,AT206,AR206))/POWER(1+Assumptions!$B$2,AH206)</f>
        <v>18383.2428066667</v>
      </c>
      <c r="AW206" s="1" t="n">
        <f aca="false">-PV(Assumptions!$B$2,AH206,T206+AI206)</f>
        <v>5318.41766002654</v>
      </c>
      <c r="AX206" s="1" t="n">
        <f aca="false">(-PV(Assumptions!$B$2,C206,S206))-(-PV(Assumptions!$B$2,AH206,S206))</f>
        <v>8919.48888629116</v>
      </c>
      <c r="AY206" s="1" t="n">
        <f aca="false">AJ206+AW206+AX206+(-PV(Assumptions!$B$2,C206,R206))+X206-(W206/POWER(1+Assumptions!$B$2,C206))</f>
        <v>35212.1356268277</v>
      </c>
      <c r="AZ206" s="1" t="n">
        <f aca="false">AY206+AV206+(AU206/POWER(1+Assumptions!$B$2,C206))</f>
        <v>53595.3784334944</v>
      </c>
      <c r="BA206" s="0" t="n">
        <f aca="false">AQ206/POWER(1+Assumptions!$B$2,AH206)</f>
        <v>17766.2693999114</v>
      </c>
      <c r="BB206" s="1" t="n">
        <f aca="false">AY206+BA206</f>
        <v>52978.4050267391</v>
      </c>
      <c r="BC206" s="1" t="n">
        <f aca="false">AJ206+Assumptions!$B$28/POWER(1+Assumptions!$B$2,AH206)+(-PV(Assumptions!$B$2,AH206,R206+T206+AI206))</f>
        <v>24811.6057054707</v>
      </c>
      <c r="BD206" s="1" t="n">
        <f aca="false">MIN(Z206,AG206,AZ206)</f>
        <v>53258.735504897</v>
      </c>
      <c r="BE206" s="0" t="str">
        <f aca="false">IF(BD206=Z206,"Cash",IF(BD206=AG206,"Loan","Lease then buy out"))</f>
        <v>Cash</v>
      </c>
    </row>
    <row r="207" customFormat="false" ht="15" hidden="false" customHeight="false" outlineLevel="0" collapsed="false">
      <c r="A207" s="0" t="s">
        <v>103</v>
      </c>
      <c r="B207" s="0" t="s">
        <v>122</v>
      </c>
      <c r="C207" s="0" t="n">
        <v>10</v>
      </c>
      <c r="D207" s="0" t="n">
        <v>0</v>
      </c>
      <c r="E207" s="0" t="n">
        <v>42435</v>
      </c>
      <c r="F207" s="0" t="n">
        <v>3038</v>
      </c>
      <c r="G207" s="0" t="n">
        <v>538</v>
      </c>
      <c r="H207" s="0" t="n">
        <v>36</v>
      </c>
      <c r="I207" s="0" t="n">
        <v>21</v>
      </c>
      <c r="J207" s="0" t="n">
        <v>15190</v>
      </c>
      <c r="K207" s="0" t="s">
        <v>99</v>
      </c>
      <c r="L207" s="0" t="n">
        <v>180.9</v>
      </c>
      <c r="M207" s="0" t="n">
        <f aca="false">MAX(Assumptions!$B$33,Assumptions!$B$30-Assumptions!$B$31*(H207-36)-IF(D207=1,Assumptions!$B$32,0))</f>
        <v>0.57</v>
      </c>
      <c r="N207" s="0" t="n">
        <f aca="false">E207*M207</f>
        <v>24187.95</v>
      </c>
      <c r="O207" s="0" t="n">
        <f aca="false">1-POWER(J207/E207,0.1)</f>
        <v>0.0976326838335125</v>
      </c>
      <c r="P207" s="0" t="n">
        <f aca="false">E207*(1+Assumptions!$B$8)+Assumptions!$B$9</f>
        <v>44956.75</v>
      </c>
      <c r="Q207" s="0" t="n">
        <f aca="false">IF(D207=1,Assumptions!$B$14*33.7,Assumptions!$B$13)</f>
        <v>3.1</v>
      </c>
      <c r="R207" s="0" t="n">
        <f aca="false">(Assumptions!$B$10/I207)*Q207</f>
        <v>1476.19047619048</v>
      </c>
      <c r="S207" s="0" t="n">
        <f aca="false">Assumptions!$B$15+Assumptions!$B$17</f>
        <v>1750</v>
      </c>
      <c r="T207" s="0" t="n">
        <f aca="false">Assumptions!$B$15*(1+Assumptions!$B$16)+Assumptions!$B$17</f>
        <v>1942</v>
      </c>
      <c r="U207" s="0" t="n">
        <f aca="false">IF(OR(C207&gt;Assumptions!$B$11,Assumptions!$B$10*C207&gt;Assumptions!$B$12),1,0)</f>
        <v>0</v>
      </c>
      <c r="V207" s="0" t="n">
        <f aca="false">MAX(0.6,1-Assumptions!$B$22*MAX(0,(Assumptions!$B$10-10000)*C207)/10000)</f>
        <v>1</v>
      </c>
      <c r="W207" s="0" t="n">
        <f aca="false">IF(U207=1,Assumptions!$B$23,MAX(Assumptions!$B$23,E207*POWER(1-O207,C207)*V207))</f>
        <v>15190</v>
      </c>
      <c r="X207" s="0" t="n">
        <f aca="true">SUMPRODUCT((ROW(INDIRECT("1:"&amp;C207))&gt;Assumptions!$B$20)*Assumptions!$B$18*POWER(Assumptions!$B$19,ROW(INDIRECT("1:"&amp;C207))-Assumptions!$B$20-1)*IF(ROW(INDIRECT("1:"&amp;C207))&gt;Assumptions!$B$11,Assumptions!$B$21,1)/POWER(1+Assumptions!$B$2,ROW(INDIRECT("1:"&amp;C207))))</f>
        <v>7070.12417022456</v>
      </c>
      <c r="Y207" s="1" t="n">
        <f aca="false">-PV(Assumptions!$B$2,C207,R207+S207)+X207</f>
        <v>32348.8746880394</v>
      </c>
      <c r="Z207" s="1" t="n">
        <f aca="false">P207+Y207-(W207/POWER(1+Assumptions!$B$2,C207))</f>
        <v>67709.6088282734</v>
      </c>
      <c r="AA207" s="0" t="n">
        <f aca="false">P207*Assumptions!$B$7</f>
        <v>4495.675</v>
      </c>
      <c r="AB207" s="0" t="n">
        <f aca="false">P207-AA207</f>
        <v>40461.075</v>
      </c>
      <c r="AC207" s="1" t="n">
        <f aca="false">PMT(Assumptions!$B$5,Assumptions!$B$6,-AB207)</f>
        <v>800.986896942404</v>
      </c>
      <c r="AD207" s="0" t="n">
        <f aca="false">C207*12</f>
        <v>120</v>
      </c>
      <c r="AE207" s="0" t="n">
        <f aca="false">MIN(Assumptions!$B$6,AD207)</f>
        <v>60</v>
      </c>
      <c r="AF207" s="0" t="n">
        <f aca="false">IF(AD207&gt;=Assumptions!$B$6,0,-PV(Assumptions!$B$5,Assumptions!$B$6-AD207,AC207))</f>
        <v>0</v>
      </c>
      <c r="AG207" s="1" t="n">
        <f aca="false">AA207+(-PV(Assumptions!$B$3,AE207,AC207))+Y207-((W207-AF207)/POWER(1+Assumptions!$B$2,C207))</f>
        <v>70004.093754076</v>
      </c>
      <c r="AH207" s="0" t="n">
        <f aca="false">H207/12</f>
        <v>3</v>
      </c>
      <c r="AI207" s="0" t="n">
        <f aca="false">MAX(0,Assumptions!$B$10-Assumptions!$B$24)*Assumptions!$B$25</f>
        <v>0</v>
      </c>
      <c r="AJ207" s="1" t="n">
        <f aca="false">F207+Assumptions!$B$27+(-PV(Assumptions!$B$3,H207-1,G207))</f>
        <v>21302.2963478043</v>
      </c>
      <c r="AK207" s="0" t="n">
        <f aca="false">CEILING(C207/AH207,1)</f>
        <v>4</v>
      </c>
      <c r="AL207" s="0" t="n">
        <f aca="false">(1+Assumptions!$B$26)/POWER(1+Assumptions!$B$2,AH207)</f>
        <v>0.906135810905202</v>
      </c>
      <c r="AM207" s="0" t="n">
        <f aca="false">IF(ABS(1-AL207)&lt;0.000000000001,AK207,(1-POWER(AL207,AK207))/(1-AL207))</f>
        <v>3.47122982028551</v>
      </c>
      <c r="AN207" s="0" t="n">
        <f aca="false">1/POWER(1+Assumptions!$B$2,AH207)</f>
        <v>0.871284433562695</v>
      </c>
      <c r="AO207" s="0" t="n">
        <f aca="false">IF(ABS(1-AN207)&lt;0.000000000001,AK207,AN207*(1-POWER(AN207,AK207))/(1-AN207))</f>
        <v>2.86813319209759</v>
      </c>
      <c r="AP207" s="1" t="n">
        <f aca="false">AJ207*AM207+Assumptions!$B$28*AO207+(-PV(Assumptions!$B$2,C207,R207+T207+AI207))</f>
        <v>101875.582251849</v>
      </c>
      <c r="AQ207" s="0" t="n">
        <f aca="false">N207*(1+Assumptions!$B$8)</f>
        <v>25397.3475</v>
      </c>
      <c r="AR207" s="1" t="n">
        <f aca="false">PMT(Assumptions!$B$5,Assumptions!$B$29,-AQ207)</f>
        <v>784.080243436409</v>
      </c>
      <c r="AS207" s="0" t="n">
        <f aca="false">MAX(0,AD207-H207)</f>
        <v>84</v>
      </c>
      <c r="AT207" s="0" t="n">
        <f aca="false">MIN(Assumptions!$B$29,AS207)</f>
        <v>36</v>
      </c>
      <c r="AU207" s="0" t="n">
        <f aca="false">IF(AS207&gt;=Assumptions!$B$29,0,-PV(Assumptions!$B$5,Assumptions!$B$29-AS207,AR207))</f>
        <v>0</v>
      </c>
      <c r="AV207" s="1" t="n">
        <f aca="false">(-PV(Assumptions!$B$3,AT207,AR207))/POWER(1+Assumptions!$B$2,AH207)</f>
        <v>22896.7686674758</v>
      </c>
      <c r="AW207" s="1" t="n">
        <f aca="false">-PV(Assumptions!$B$2,AH207,T207+AI207)</f>
        <v>5318.41766002654</v>
      </c>
      <c r="AX207" s="1" t="n">
        <f aca="false">(-PV(Assumptions!$B$2,C207,S207))-(-PV(Assumptions!$B$2,AH207,S207))</f>
        <v>8919.48888629116</v>
      </c>
      <c r="AY207" s="1" t="n">
        <f aca="false">AJ207+AW207+AX207+(-PV(Assumptions!$B$2,C207,R207))+X207-(W207/POWER(1+Assumptions!$B$2,C207))</f>
        <v>44580.9719581195</v>
      </c>
      <c r="AZ207" s="1" t="n">
        <f aca="false">AY207+AV207+(AU207/POWER(1+Assumptions!$B$2,C207))</f>
        <v>67477.7406255953</v>
      </c>
      <c r="BA207" s="0" t="n">
        <f aca="false">AQ207/POWER(1+Assumptions!$B$2,AH207)</f>
        <v>22128.3135305324</v>
      </c>
      <c r="BB207" s="1" t="n">
        <f aca="false">AY207+BA207</f>
        <v>66709.2854886519</v>
      </c>
      <c r="BC207" s="1" t="n">
        <f aca="false">AJ207+Assumptions!$B$28/POWER(1+Assumptions!$B$2,AH207)+(-PV(Assumptions!$B$2,AH207,R207+T207+AI207))</f>
        <v>31011.9659368349</v>
      </c>
      <c r="BD207" s="1" t="n">
        <f aca="false">MIN(Z207,AG207,AZ207)</f>
        <v>67477.7406255953</v>
      </c>
      <c r="BE207" s="0" t="str">
        <f aca="false">IF(BD207=Z207,"Cash",IF(BD207=AG207,"Loan","Lease then buy out"))</f>
        <v>Lease then buy out</v>
      </c>
    </row>
    <row r="208" customFormat="false" ht="15" hidden="false" customHeight="false" outlineLevel="0" collapsed="false">
      <c r="A208" s="0" t="s">
        <v>46</v>
      </c>
      <c r="B208" s="0" t="s">
        <v>123</v>
      </c>
      <c r="C208" s="0" t="n">
        <v>10</v>
      </c>
      <c r="D208" s="0" t="n">
        <v>0</v>
      </c>
      <c r="E208" s="0" t="n">
        <v>39672</v>
      </c>
      <c r="F208" s="0" t="n">
        <v>3034</v>
      </c>
      <c r="G208" s="0" t="n">
        <v>534</v>
      </c>
      <c r="H208" s="0" t="n">
        <v>36</v>
      </c>
      <c r="I208" s="0" t="n">
        <v>22</v>
      </c>
      <c r="J208" s="0" t="n">
        <v>11226</v>
      </c>
      <c r="K208" s="0" t="s">
        <v>99</v>
      </c>
      <c r="L208" s="0" t="n">
        <v>193.8</v>
      </c>
      <c r="M208" s="0" t="n">
        <f aca="false">MAX(Assumptions!$B$33,Assumptions!$B$30-Assumptions!$B$31*(H208-36)-IF(D208=1,Assumptions!$B$32,0))</f>
        <v>0.57</v>
      </c>
      <c r="N208" s="0" t="n">
        <f aca="false">E208*M208</f>
        <v>22613.04</v>
      </c>
      <c r="O208" s="0" t="n">
        <f aca="false">1-POWER(J208/E208,0.1)</f>
        <v>0.118597872908143</v>
      </c>
      <c r="P208" s="0" t="n">
        <f aca="false">E208*(1+Assumptions!$B$8)+Assumptions!$B$9</f>
        <v>42055.6</v>
      </c>
      <c r="Q208" s="0" t="n">
        <f aca="false">IF(D208=1,Assumptions!$B$14*33.7,Assumptions!$B$13)</f>
        <v>3.1</v>
      </c>
      <c r="R208" s="0" t="n">
        <f aca="false">(Assumptions!$B$10/I208)*Q208</f>
        <v>1409.09090909091</v>
      </c>
      <c r="S208" s="0" t="n">
        <f aca="false">Assumptions!$B$15+Assumptions!$B$17</f>
        <v>1750</v>
      </c>
      <c r="T208" s="0" t="n">
        <f aca="false">Assumptions!$B$15*(1+Assumptions!$B$16)+Assumptions!$B$17</f>
        <v>1942</v>
      </c>
      <c r="U208" s="0" t="n">
        <f aca="false">IF(OR(C208&gt;Assumptions!$B$11,Assumptions!$B$10*C208&gt;Assumptions!$B$12),1,0)</f>
        <v>0</v>
      </c>
      <c r="V208" s="0" t="n">
        <f aca="false">MAX(0.6,1-Assumptions!$B$22*MAX(0,(Assumptions!$B$10-10000)*C208)/10000)</f>
        <v>1</v>
      </c>
      <c r="W208" s="0" t="n">
        <f aca="false">IF(U208=1,Assumptions!$B$23,MAX(Assumptions!$B$23,E208*POWER(1-O208,C208)*V208))</f>
        <v>11226</v>
      </c>
      <c r="X208" s="0" t="n">
        <f aca="true">SUMPRODUCT((ROW(INDIRECT("1:"&amp;C208))&gt;Assumptions!$B$20)*Assumptions!$B$18*POWER(Assumptions!$B$19,ROW(INDIRECT("1:"&amp;C208))-Assumptions!$B$20-1)*IF(ROW(INDIRECT("1:"&amp;C208))&gt;Assumptions!$B$11,Assumptions!$B$21,1)/POWER(1+Assumptions!$B$2,ROW(INDIRECT("1:"&amp;C208))))</f>
        <v>7070.12417022456</v>
      </c>
      <c r="Y208" s="1" t="n">
        <f aca="false">-PV(Assumptions!$B$2,C208,R208+S208)+X208</f>
        <v>31823.1173810604</v>
      </c>
      <c r="Z208" s="1" t="n">
        <f aca="false">P208+Y208-(W208/POWER(1+Assumptions!$B$2,C208))</f>
        <v>66786.88893855</v>
      </c>
      <c r="AA208" s="0" t="n">
        <f aca="false">P208*Assumptions!$B$7</f>
        <v>4205.56</v>
      </c>
      <c r="AB208" s="0" t="n">
        <f aca="false">P208-AA208</f>
        <v>37850.04</v>
      </c>
      <c r="AC208" s="1" t="n">
        <f aca="false">PMT(Assumptions!$B$5,Assumptions!$B$6,-AB208)</f>
        <v>749.297592531733</v>
      </c>
      <c r="AD208" s="0" t="n">
        <f aca="false">C208*12</f>
        <v>120</v>
      </c>
      <c r="AE208" s="0" t="n">
        <f aca="false">MIN(Assumptions!$B$6,AD208)</f>
        <v>60</v>
      </c>
      <c r="AF208" s="0" t="n">
        <f aca="false">IF(AD208&gt;=Assumptions!$B$6,0,-PV(Assumptions!$B$5,Assumptions!$B$6-AD208,AC208))</f>
        <v>0</v>
      </c>
      <c r="AG208" s="1" t="n">
        <f aca="false">AA208+(-PV(Assumptions!$B$3,AE208,AC208))+Y208-((W208-AF208)/POWER(1+Assumptions!$B$2,C208))</f>
        <v>68933.3061116237</v>
      </c>
      <c r="AH208" s="0" t="n">
        <f aca="false">H208/12</f>
        <v>3</v>
      </c>
      <c r="AI208" s="0" t="n">
        <f aca="false">MAX(0,Assumptions!$B$10-Assumptions!$B$24)*Assumptions!$B$25</f>
        <v>0</v>
      </c>
      <c r="AJ208" s="1" t="n">
        <f aca="false">F208+Assumptions!$B$27+(-PV(Assumptions!$B$3,H208-1,G208))</f>
        <v>21167.7067838801</v>
      </c>
      <c r="AK208" s="0" t="n">
        <f aca="false">CEILING(C208/AH208,1)</f>
        <v>4</v>
      </c>
      <c r="AL208" s="0" t="n">
        <f aca="false">(1+Assumptions!$B$26)/POWER(1+Assumptions!$B$2,AH208)</f>
        <v>0.906135810905202</v>
      </c>
      <c r="AM208" s="0" t="n">
        <f aca="false">IF(ABS(1-AL208)&lt;0.000000000001,AK208,(1-POWER(AL208,AK208))/(1-AL208))</f>
        <v>3.47122982028551</v>
      </c>
      <c r="AN208" s="0" t="n">
        <f aca="false">1/POWER(1+Assumptions!$B$2,AH208)</f>
        <v>0.871284433562695</v>
      </c>
      <c r="AO208" s="0" t="n">
        <f aca="false">IF(ABS(1-AN208)&lt;0.000000000001,AK208,AN208*(1-POWER(AN208,AK208))/(1-AN208))</f>
        <v>2.86813319209759</v>
      </c>
      <c r="AP208" s="1" t="n">
        <f aca="false">AJ208*AM208+Assumptions!$B$28*AO208+(-PV(Assumptions!$B$2,C208,R208+T208+AI208))</f>
        <v>100882.633637077</v>
      </c>
      <c r="AQ208" s="0" t="n">
        <f aca="false">N208*(1+Assumptions!$B$8)</f>
        <v>23743.692</v>
      </c>
      <c r="AR208" s="1" t="n">
        <f aca="false">PMT(Assumptions!$B$5,Assumptions!$B$29,-AQ208)</f>
        <v>733.027722813932</v>
      </c>
      <c r="AS208" s="0" t="n">
        <f aca="false">MAX(0,AD208-H208)</f>
        <v>84</v>
      </c>
      <c r="AT208" s="0" t="n">
        <f aca="false">MIN(Assumptions!$B$29,AS208)</f>
        <v>36</v>
      </c>
      <c r="AU208" s="0" t="n">
        <f aca="false">IF(AS208&gt;=Assumptions!$B$29,0,-PV(Assumptions!$B$5,Assumptions!$B$29-AS208,AR208))</f>
        <v>0</v>
      </c>
      <c r="AV208" s="1" t="n">
        <f aca="false">(-PV(Assumptions!$B$3,AT208,AR208))/POWER(1+Assumptions!$B$2,AH208)</f>
        <v>21405.9292229551</v>
      </c>
      <c r="AW208" s="1" t="n">
        <f aca="false">-PV(Assumptions!$B$2,AH208,T208+AI208)</f>
        <v>5318.41766002654</v>
      </c>
      <c r="AX208" s="1" t="n">
        <f aca="false">(-PV(Assumptions!$B$2,C208,S208))-(-PV(Assumptions!$B$2,AH208,S208))</f>
        <v>8919.48888629116</v>
      </c>
      <c r="AY208" s="1" t="n">
        <f aca="false">AJ208+AW208+AX208+(-PV(Assumptions!$B$2,C208,R208))+X208-(W208/POWER(1+Assumptions!$B$2,C208))</f>
        <v>46424.8125044718</v>
      </c>
      <c r="AZ208" s="1" t="n">
        <f aca="false">AY208+AV208+(AU208/POWER(1+Assumptions!$B$2,C208))</f>
        <v>67830.741727427</v>
      </c>
      <c r="BA208" s="0" t="n">
        <f aca="false">AQ208/POWER(1+Assumptions!$B$2,AH208)</f>
        <v>20687.5092349071</v>
      </c>
      <c r="BB208" s="1" t="n">
        <f aca="false">AY208+BA208</f>
        <v>67112.3217393789</v>
      </c>
      <c r="BC208" s="1" t="n">
        <f aca="false">AJ208+Assumptions!$B$28/POWER(1+Assumptions!$B$2,AH208)+(-PV(Assumptions!$B$2,AH208,R208+T208+AI208))</f>
        <v>30693.6155476571</v>
      </c>
      <c r="BD208" s="1" t="n">
        <f aca="false">MIN(Z208,AG208,AZ208)</f>
        <v>66786.88893855</v>
      </c>
      <c r="BE208" s="0" t="str">
        <f aca="false">IF(BD208=Z208,"Cash",IF(BD208=AG208,"Loan","Lease then buy out"))</f>
        <v>Cash</v>
      </c>
    </row>
    <row r="209" customFormat="false" ht="15" hidden="false" customHeight="false" outlineLevel="0" collapsed="false">
      <c r="A209" s="0" t="s">
        <v>82</v>
      </c>
      <c r="B209" s="0" t="s">
        <v>124</v>
      </c>
      <c r="C209" s="0" t="n">
        <v>10</v>
      </c>
      <c r="D209" s="0" t="n">
        <v>0</v>
      </c>
      <c r="E209" s="0" t="n">
        <v>44500</v>
      </c>
      <c r="F209" s="0" t="n">
        <v>4639</v>
      </c>
      <c r="G209" s="0" t="n">
        <v>589</v>
      </c>
      <c r="H209" s="0" t="n">
        <v>36</v>
      </c>
      <c r="I209" s="0" t="n">
        <v>32</v>
      </c>
      <c r="J209" s="0" t="n">
        <v>13595</v>
      </c>
      <c r="K209" s="0" t="s">
        <v>107</v>
      </c>
      <c r="L209" s="0" t="n">
        <v>118</v>
      </c>
      <c r="M209" s="0" t="n">
        <f aca="false">MAX(Assumptions!$B$33,Assumptions!$B$30-Assumptions!$B$31*(H209-36)-IF(D209=1,Assumptions!$B$32,0))</f>
        <v>0.57</v>
      </c>
      <c r="N209" s="0" t="n">
        <f aca="false">E209*M209</f>
        <v>25365</v>
      </c>
      <c r="O209" s="0" t="n">
        <f aca="false">1-POWER(J209/E209,0.1)</f>
        <v>0.111818096876996</v>
      </c>
      <c r="P209" s="0" t="n">
        <f aca="false">E209*(1+Assumptions!$B$8)+Assumptions!$B$9</f>
        <v>47125</v>
      </c>
      <c r="Q209" s="0" t="n">
        <f aca="false">IF(D209=1,Assumptions!$B$14*33.7,Assumptions!$B$13)</f>
        <v>3.1</v>
      </c>
      <c r="R209" s="0" t="n">
        <f aca="false">(Assumptions!$B$10/I209)*Q209</f>
        <v>968.75</v>
      </c>
      <c r="S209" s="0" t="n">
        <f aca="false">Assumptions!$B$15+Assumptions!$B$17</f>
        <v>1750</v>
      </c>
      <c r="T209" s="0" t="n">
        <f aca="false">Assumptions!$B$15*(1+Assumptions!$B$16)+Assumptions!$B$17</f>
        <v>1942</v>
      </c>
      <c r="U209" s="0" t="n">
        <f aca="false">IF(OR(C209&gt;Assumptions!$B$11,Assumptions!$B$10*C209&gt;Assumptions!$B$12),1,0)</f>
        <v>0</v>
      </c>
      <c r="V209" s="0" t="n">
        <f aca="false">MAX(0.6,1-Assumptions!$B$22*MAX(0,(Assumptions!$B$10-10000)*C209)/10000)</f>
        <v>1</v>
      </c>
      <c r="W209" s="0" t="n">
        <f aca="false">IF(U209=1,Assumptions!$B$23,MAX(Assumptions!$B$23,E209*POWER(1-O209,C209)*V209))</f>
        <v>13595</v>
      </c>
      <c r="X209" s="0" t="n">
        <f aca="true">SUMPRODUCT((ROW(INDIRECT("1:"&amp;C209))&gt;Assumptions!$B$20)*Assumptions!$B$18*POWER(Assumptions!$B$19,ROW(INDIRECT("1:"&amp;C209))-Assumptions!$B$20-1)*IF(ROW(INDIRECT("1:"&amp;C209))&gt;Assumptions!$B$11,Assumptions!$B$21,1)/POWER(1+Assumptions!$B$2,ROW(INDIRECT("1:"&amp;C209))))</f>
        <v>7070.12417022456</v>
      </c>
      <c r="Y209" s="1" t="n">
        <f aca="false">-PV(Assumptions!$B$2,C209,R209+S209)+X209</f>
        <v>28372.8350540104</v>
      </c>
      <c r="Z209" s="1" t="n">
        <f aca="false">P209+Y209-(W209/POWER(1+Assumptions!$B$2,C209))</f>
        <v>66909.4324461422</v>
      </c>
      <c r="AA209" s="0" t="n">
        <f aca="false">P209*Assumptions!$B$7</f>
        <v>4712.5</v>
      </c>
      <c r="AB209" s="0" t="n">
        <f aca="false">P209-AA209</f>
        <v>42412.5</v>
      </c>
      <c r="AC209" s="1" t="n">
        <f aca="false">PMT(Assumptions!$B$5,Assumptions!$B$6,-AB209)</f>
        <v>839.618244610894</v>
      </c>
      <c r="AD209" s="0" t="n">
        <f aca="false">C209*12</f>
        <v>120</v>
      </c>
      <c r="AE209" s="0" t="n">
        <f aca="false">MIN(Assumptions!$B$6,AD209)</f>
        <v>60</v>
      </c>
      <c r="AF209" s="0" t="n">
        <f aca="false">IF(AD209&gt;=Assumptions!$B$6,0,-PV(Assumptions!$B$5,Assumptions!$B$6-AD209,AC209))</f>
        <v>0</v>
      </c>
      <c r="AG209" s="1" t="n">
        <f aca="false">AA209+(-PV(Assumptions!$B$3,AE209,AC209))+Y209-((W209-AF209)/POWER(1+Assumptions!$B$2,C209))</f>
        <v>69314.5796627103</v>
      </c>
      <c r="AH209" s="0" t="n">
        <f aca="false">H209/12</f>
        <v>3</v>
      </c>
      <c r="AI209" s="0" t="n">
        <f aca="false">MAX(0,Assumptions!$B$10-Assumptions!$B$24)*Assumptions!$B$25</f>
        <v>0</v>
      </c>
      <c r="AJ209" s="1" t="n">
        <f aca="false">F209+Assumptions!$B$27+(-PV(Assumptions!$B$3,H209-1,G209))</f>
        <v>24568.3132878378</v>
      </c>
      <c r="AK209" s="0" t="n">
        <f aca="false">CEILING(C209/AH209,1)</f>
        <v>4</v>
      </c>
      <c r="AL209" s="0" t="n">
        <f aca="false">(1+Assumptions!$B$26)/POWER(1+Assumptions!$B$2,AH209)</f>
        <v>0.906135810905202</v>
      </c>
      <c r="AM209" s="0" t="n">
        <f aca="false">IF(ABS(1-AL209)&lt;0.000000000001,AK209,(1-POWER(AL209,AK209))/(1-AL209))</f>
        <v>3.47122982028551</v>
      </c>
      <c r="AN209" s="0" t="n">
        <f aca="false">1/POWER(1+Assumptions!$B$2,AH209)</f>
        <v>0.871284433562695</v>
      </c>
      <c r="AO209" s="0" t="n">
        <f aca="false">IF(ABS(1-AN209)&lt;0.000000000001,AK209,AN209*(1-POWER(AN209,AK209))/(1-AN209))</f>
        <v>2.86813319209759</v>
      </c>
      <c r="AP209" s="1" t="n">
        <f aca="false">AJ209*AM209+Assumptions!$B$28*AO209+(-PV(Assumptions!$B$2,C209,R209+T209+AI209))</f>
        <v>109236.638013622</v>
      </c>
      <c r="AQ209" s="0" t="n">
        <f aca="false">N209*(1+Assumptions!$B$8)</f>
        <v>26633.25</v>
      </c>
      <c r="AR209" s="1" t="n">
        <f aca="false">PMT(Assumptions!$B$5,Assumptions!$B$29,-AQ209)</f>
        <v>822.2356741586</v>
      </c>
      <c r="AS209" s="0" t="n">
        <f aca="false">MAX(0,AD209-H209)</f>
        <v>84</v>
      </c>
      <c r="AT209" s="0" t="n">
        <f aca="false">MIN(Assumptions!$B$29,AS209)</f>
        <v>36</v>
      </c>
      <c r="AU209" s="0" t="n">
        <f aca="false">IF(AS209&gt;=Assumptions!$B$29,0,-PV(Assumptions!$B$5,Assumptions!$B$29-AS209,AR209))</f>
        <v>0</v>
      </c>
      <c r="AV209" s="1" t="n">
        <f aca="false">(-PV(Assumptions!$B$3,AT209,AR209))/POWER(1+Assumptions!$B$2,AH209)</f>
        <v>24010.9863485961</v>
      </c>
      <c r="AW209" s="1" t="n">
        <f aca="false">-PV(Assumptions!$B$2,AH209,T209+AI209)</f>
        <v>5318.41766002654</v>
      </c>
      <c r="AX209" s="1" t="n">
        <f aca="false">(-PV(Assumptions!$B$2,C209,S209))-(-PV(Assumptions!$B$2,AH209,S209))</f>
        <v>8919.48888629116</v>
      </c>
      <c r="AY209" s="1" t="n">
        <f aca="false">AJ209+AW209+AX209+(-PV(Assumptions!$B$2,C209,R209))+X209-(W209/POWER(1+Assumptions!$B$2,C209))</f>
        <v>44878.5625160217</v>
      </c>
      <c r="AZ209" s="1" t="n">
        <f aca="false">AY209+AV209+(AU209/POWER(1+Assumptions!$B$2,C209))</f>
        <v>68889.5488646178</v>
      </c>
      <c r="BA209" s="0" t="n">
        <f aca="false">AQ209/POWER(1+Assumptions!$B$2,AH209)</f>
        <v>23205.1361401836</v>
      </c>
      <c r="BB209" s="1" t="n">
        <f aca="false">AY209+BA209</f>
        <v>68083.6986562054</v>
      </c>
      <c r="BC209" s="1" t="n">
        <f aca="false">AJ209+Assumptions!$B$28/POWER(1+Assumptions!$B$2,AH209)+(-PV(Assumptions!$B$2,AH209,R209+T209+AI209))</f>
        <v>32888.2916358881</v>
      </c>
      <c r="BD209" s="1" t="n">
        <f aca="false">MIN(Z209,AG209,AZ209)</f>
        <v>66909.4324461422</v>
      </c>
      <c r="BE209" s="0" t="str">
        <f aca="false">IF(BD209=Z209,"Cash",IF(BD209=AG209,"Loan","Lease then buy out"))</f>
        <v>Cash</v>
      </c>
    </row>
    <row r="210" customFormat="false" ht="15" hidden="false" customHeight="false" outlineLevel="0" collapsed="false">
      <c r="A210" s="0" t="s">
        <v>43</v>
      </c>
      <c r="B210" s="0" t="s">
        <v>125</v>
      </c>
      <c r="C210" s="0" t="n">
        <v>10</v>
      </c>
      <c r="D210" s="0" t="n">
        <v>0</v>
      </c>
      <c r="E210" s="0" t="n">
        <v>41866</v>
      </c>
      <c r="F210" s="0" t="n">
        <v>2984</v>
      </c>
      <c r="G210" s="0" t="n">
        <v>484</v>
      </c>
      <c r="H210" s="0" t="n">
        <v>36</v>
      </c>
      <c r="I210" s="0" t="n">
        <v>24</v>
      </c>
      <c r="J210" s="0" t="n">
        <v>14730</v>
      </c>
      <c r="K210" s="0" t="s">
        <v>99</v>
      </c>
      <c r="L210" s="0" t="n">
        <v>184</v>
      </c>
      <c r="M210" s="0" t="n">
        <f aca="false">MAX(Assumptions!$B$33,Assumptions!$B$30-Assumptions!$B$31*(H210-36)-IF(D210=1,Assumptions!$B$32,0))</f>
        <v>0.57</v>
      </c>
      <c r="N210" s="0" t="n">
        <f aca="false">E210*M210</f>
        <v>23863.62</v>
      </c>
      <c r="O210" s="0" t="n">
        <f aca="false">1-POWER(J210/E210,0.1)</f>
        <v>0.0991880728994194</v>
      </c>
      <c r="P210" s="0" t="n">
        <f aca="false">E210*(1+Assumptions!$B$8)+Assumptions!$B$9</f>
        <v>44359.3</v>
      </c>
      <c r="Q210" s="0" t="n">
        <f aca="false">IF(D210=1,Assumptions!$B$14*33.7,Assumptions!$B$13)</f>
        <v>3.1</v>
      </c>
      <c r="R210" s="0" t="n">
        <f aca="false">(Assumptions!$B$10/I210)*Q210</f>
        <v>1291.66666666667</v>
      </c>
      <c r="S210" s="0" t="n">
        <f aca="false">Assumptions!$B$15+Assumptions!$B$17</f>
        <v>1750</v>
      </c>
      <c r="T210" s="0" t="n">
        <f aca="false">Assumptions!$B$15*(1+Assumptions!$B$16)+Assumptions!$B$17</f>
        <v>1942</v>
      </c>
      <c r="U210" s="0" t="n">
        <f aca="false">IF(OR(C210&gt;Assumptions!$B$11,Assumptions!$B$10*C210&gt;Assumptions!$B$12),1,0)</f>
        <v>0</v>
      </c>
      <c r="V210" s="0" t="n">
        <f aca="false">MAX(0.6,1-Assumptions!$B$22*MAX(0,(Assumptions!$B$10-10000)*C210)/10000)</f>
        <v>1</v>
      </c>
      <c r="W210" s="0" t="n">
        <f aca="false">IF(U210=1,Assumptions!$B$23,MAX(Assumptions!$B$23,E210*POWER(1-O210,C210)*V210))</f>
        <v>14730</v>
      </c>
      <c r="X210" s="0" t="n">
        <f aca="true">SUMPRODUCT((ROW(INDIRECT("1:"&amp;C210))&gt;Assumptions!$B$20)*Assumptions!$B$18*POWER(Assumptions!$B$19,ROW(INDIRECT("1:"&amp;C210))-Assumptions!$B$20-1)*IF(ROW(INDIRECT("1:"&amp;C210))&gt;Assumptions!$B$11,Assumptions!$B$21,1)/POWER(1+Assumptions!$B$2,ROW(INDIRECT("1:"&amp;C210))))</f>
        <v>7070.12417022456</v>
      </c>
      <c r="Y210" s="1" t="n">
        <f aca="false">-PV(Assumptions!$B$2,C210,R210+S210)+X210</f>
        <v>30903.042093847</v>
      </c>
      <c r="Z210" s="1" t="n">
        <f aca="false">P210+Y210-(W210/POWER(1+Assumptions!$B$2,C210))</f>
        <v>65956.9231593933</v>
      </c>
      <c r="AA210" s="0" t="n">
        <f aca="false">P210*Assumptions!$B$7</f>
        <v>4435.93</v>
      </c>
      <c r="AB210" s="0" t="n">
        <f aca="false">P210-AA210</f>
        <v>39923.37</v>
      </c>
      <c r="AC210" s="1" t="n">
        <f aca="false">PMT(Assumptions!$B$5,Assumptions!$B$6,-AB210)</f>
        <v>790.342230199852</v>
      </c>
      <c r="AD210" s="0" t="n">
        <f aca="false">C210*12</f>
        <v>120</v>
      </c>
      <c r="AE210" s="0" t="n">
        <f aca="false">MIN(Assumptions!$B$6,AD210)</f>
        <v>60</v>
      </c>
      <c r="AF210" s="0" t="n">
        <f aca="false">IF(AD210&gt;=Assumptions!$B$6,0,-PV(Assumptions!$B$5,Assumptions!$B$6-AD210,AC210))</f>
        <v>0</v>
      </c>
      <c r="AG210" s="1" t="n">
        <f aca="false">AA210+(-PV(Assumptions!$B$3,AE210,AC210))+Y210-((W210-AF210)/POWER(1+Assumptions!$B$2,C210))</f>
        <v>68220.9156670624</v>
      </c>
      <c r="AH210" s="0" t="n">
        <f aca="false">H210/12</f>
        <v>3</v>
      </c>
      <c r="AI210" s="0" t="n">
        <f aca="false">MAX(0,Assumptions!$B$10-Assumptions!$B$24)*Assumptions!$B$25</f>
        <v>0</v>
      </c>
      <c r="AJ210" s="1" t="n">
        <f aca="false">F210+Assumptions!$B$27+(-PV(Assumptions!$B$3,H210-1,G210))</f>
        <v>19485.3372348277</v>
      </c>
      <c r="AK210" s="0" t="n">
        <f aca="false">CEILING(C210/AH210,1)</f>
        <v>4</v>
      </c>
      <c r="AL210" s="0" t="n">
        <f aca="false">(1+Assumptions!$B$26)/POWER(1+Assumptions!$B$2,AH210)</f>
        <v>0.906135810905202</v>
      </c>
      <c r="AM210" s="0" t="n">
        <f aca="false">IF(ABS(1-AL210)&lt;0.000000000001,AK210,(1-POWER(AL210,AK210))/(1-AL210))</f>
        <v>3.47122982028551</v>
      </c>
      <c r="AN210" s="0" t="n">
        <f aca="false">1/POWER(1+Assumptions!$B$2,AH210)</f>
        <v>0.871284433562695</v>
      </c>
      <c r="AO210" s="0" t="n">
        <f aca="false">IF(ABS(1-AN210)&lt;0.000000000001,AK210,AN210*(1-POWER(AN210,AK210))/(1-AN210))</f>
        <v>2.86813319209759</v>
      </c>
      <c r="AP210" s="1" t="n">
        <f aca="false">AJ210*AM210+Assumptions!$B$28*AO210+(-PV(Assumptions!$B$2,C210,R210+T210+AI210))</f>
        <v>94122.6670024526</v>
      </c>
      <c r="AQ210" s="0" t="n">
        <f aca="false">N210*(1+Assumptions!$B$8)</f>
        <v>25056.801</v>
      </c>
      <c r="AR210" s="1" t="n">
        <f aca="false">PMT(Assumptions!$B$5,Assumptions!$B$29,-AQ210)</f>
        <v>773.566713130875</v>
      </c>
      <c r="AS210" s="0" t="n">
        <f aca="false">MAX(0,AD210-H210)</f>
        <v>84</v>
      </c>
      <c r="AT210" s="0" t="n">
        <f aca="false">MIN(Assumptions!$B$29,AS210)</f>
        <v>36</v>
      </c>
      <c r="AU210" s="0" t="n">
        <f aca="false">IF(AS210&gt;=Assumptions!$B$29,0,-PV(Assumptions!$B$5,Assumptions!$B$29-AS210,AR210))</f>
        <v>0</v>
      </c>
      <c r="AV210" s="1" t="n">
        <f aca="false">(-PV(Assumptions!$B$3,AT210,AR210))/POWER(1+Assumptions!$B$2,AH210)</f>
        <v>22589.75178585</v>
      </c>
      <c r="AW210" s="1" t="n">
        <f aca="false">-PV(Assumptions!$B$2,AH210,T210+AI210)</f>
        <v>5318.41766002654</v>
      </c>
      <c r="AX210" s="1" t="n">
        <f aca="false">(-PV(Assumptions!$B$2,C210,S210))-(-PV(Assumptions!$B$2,AH210,S210))</f>
        <v>8919.48888629116</v>
      </c>
      <c r="AY210" s="1" t="n">
        <f aca="false">AJ210+AW210+AX210+(-PV(Assumptions!$B$2,C210,R210))+X210-(W210/POWER(1+Assumptions!$B$2,C210))</f>
        <v>41608.7771762627</v>
      </c>
      <c r="AZ210" s="1" t="n">
        <f aca="false">AY210+AV210+(AU210/POWER(1+Assumptions!$B$2,C210))</f>
        <v>64198.5289621126</v>
      </c>
      <c r="BA210" s="0" t="n">
        <f aca="false">AQ210/POWER(1+Assumptions!$B$2,AH210)</f>
        <v>21831.6006661782</v>
      </c>
      <c r="BB210" s="1" t="n">
        <f aca="false">AY210+BA210</f>
        <v>63440.3778424408</v>
      </c>
      <c r="BC210" s="1" t="n">
        <f aca="false">AJ210+Assumptions!$B$28/POWER(1+Assumptions!$B$2,AH210)+(-PV(Assumptions!$B$2,AH210,R210+T210+AI210))</f>
        <v>28689.6645544109</v>
      </c>
      <c r="BD210" s="1" t="n">
        <f aca="false">MIN(Z210,AG210,AZ210)</f>
        <v>64198.5289621126</v>
      </c>
      <c r="BE210" s="0" t="str">
        <f aca="false">IF(BD210=Z210,"Cash",IF(BD210=AG210,"Loan","Lease then buy out"))</f>
        <v>Lease then buy out</v>
      </c>
    </row>
    <row r="211" customFormat="false" ht="15" hidden="false" customHeight="false" outlineLevel="0" collapsed="false">
      <c r="A211" s="0" t="s">
        <v>48</v>
      </c>
      <c r="B211" s="0" t="s">
        <v>126</v>
      </c>
      <c r="C211" s="0" t="n">
        <v>10</v>
      </c>
      <c r="D211" s="0" t="n">
        <v>0</v>
      </c>
      <c r="E211" s="0" t="n">
        <v>30030</v>
      </c>
      <c r="F211" s="0" t="n">
        <v>4659</v>
      </c>
      <c r="G211" s="0" t="n">
        <v>359</v>
      </c>
      <c r="H211" s="0" t="n">
        <v>36</v>
      </c>
      <c r="I211" s="0" t="n">
        <v>23</v>
      </c>
      <c r="J211" s="0" t="n">
        <v>13061</v>
      </c>
      <c r="K211" s="0" t="s">
        <v>127</v>
      </c>
      <c r="L211" s="0" t="n">
        <v>90.1</v>
      </c>
      <c r="M211" s="0" t="n">
        <f aca="false">MAX(Assumptions!$B$33,Assumptions!$B$30-Assumptions!$B$31*(H211-36)-IF(D211=1,Assumptions!$B$32,0))</f>
        <v>0.57</v>
      </c>
      <c r="N211" s="0" t="n">
        <f aca="false">E211*M211</f>
        <v>17117.1</v>
      </c>
      <c r="O211" s="0" t="n">
        <f aca="false">1-POWER(J211/E211,0.1)</f>
        <v>0.0798850021982334</v>
      </c>
      <c r="P211" s="0" t="n">
        <f aca="false">E211*(1+Assumptions!$B$8)+Assumptions!$B$9</f>
        <v>31931.5</v>
      </c>
      <c r="Q211" s="0" t="n">
        <f aca="false">IF(D211=1,Assumptions!$B$14*33.7,Assumptions!$B$13)</f>
        <v>3.1</v>
      </c>
      <c r="R211" s="0" t="n">
        <f aca="false">(Assumptions!$B$10/I211)*Q211</f>
        <v>1347.82608695652</v>
      </c>
      <c r="S211" s="0" t="n">
        <f aca="false">Assumptions!$B$15+Assumptions!$B$17</f>
        <v>1750</v>
      </c>
      <c r="T211" s="0" t="n">
        <f aca="false">Assumptions!$B$15*(1+Assumptions!$B$16)+Assumptions!$B$17</f>
        <v>1942</v>
      </c>
      <c r="U211" s="0" t="n">
        <f aca="false">IF(OR(C211&gt;Assumptions!$B$11,Assumptions!$B$10*C211&gt;Assumptions!$B$12),1,0)</f>
        <v>0</v>
      </c>
      <c r="V211" s="0" t="n">
        <f aca="false">MAX(0.6,1-Assumptions!$B$22*MAX(0,(Assumptions!$B$10-10000)*C211)/10000)</f>
        <v>1</v>
      </c>
      <c r="W211" s="0" t="n">
        <f aca="false">IF(U211=1,Assumptions!$B$23,MAX(Assumptions!$B$23,E211*POWER(1-O211,C211)*V211))</f>
        <v>13061</v>
      </c>
      <c r="X211" s="0" t="n">
        <f aca="true">SUMPRODUCT((ROW(INDIRECT("1:"&amp;C211))&gt;Assumptions!$B$20)*Assumptions!$B$18*POWER(Assumptions!$B$19,ROW(INDIRECT("1:"&amp;C211))-Assumptions!$B$20-1)*IF(ROW(INDIRECT("1:"&amp;C211))&gt;Assumptions!$B$11,Assumptions!$B$21,1)/POWER(1+Assumptions!$B$2,ROW(INDIRECT("1:"&amp;C211))))</f>
        <v>7070.12417022456</v>
      </c>
      <c r="Y211" s="1" t="n">
        <f aca="false">-PV(Assumptions!$B$2,C211,R211+S211)+X211</f>
        <v>31343.0781007752</v>
      </c>
      <c r="Z211" s="1" t="n">
        <f aca="false">P211+Y211-(W211/POWER(1+Assumptions!$B$2,C211))</f>
        <v>55023.5206192476</v>
      </c>
      <c r="AA211" s="0" t="n">
        <f aca="false">P211*Assumptions!$B$7</f>
        <v>3193.15</v>
      </c>
      <c r="AB211" s="0" t="n">
        <f aca="false">P211-AA211</f>
        <v>28738.35</v>
      </c>
      <c r="AC211" s="1" t="n">
        <f aca="false">PMT(Assumptions!$B$5,Assumptions!$B$6,-AB211)</f>
        <v>568.918195815231</v>
      </c>
      <c r="AD211" s="0" t="n">
        <f aca="false">C211*12</f>
        <v>120</v>
      </c>
      <c r="AE211" s="0" t="n">
        <f aca="false">MIN(Assumptions!$B$6,AD211)</f>
        <v>60</v>
      </c>
      <c r="AF211" s="0" t="n">
        <f aca="false">IF(AD211&gt;=Assumptions!$B$6,0,-PV(Assumptions!$B$5,Assumptions!$B$6-AD211,AC211))</f>
        <v>0</v>
      </c>
      <c r="AG211" s="1" t="n">
        <f aca="false">AA211+(-PV(Assumptions!$B$3,AE211,AC211))+Y211-((W211-AF211)/POWER(1+Assumptions!$B$2,C211))</f>
        <v>56653.2279581515</v>
      </c>
      <c r="AH211" s="0" t="n">
        <f aca="false">H211/12</f>
        <v>3</v>
      </c>
      <c r="AI211" s="0" t="n">
        <f aca="false">MAX(0,Assumptions!$B$10-Assumptions!$B$24)*Assumptions!$B$25</f>
        <v>0</v>
      </c>
      <c r="AJ211" s="1" t="n">
        <f aca="false">F211+Assumptions!$B$27+(-PV(Assumptions!$B$3,H211-1,G211))</f>
        <v>17079.4133621965</v>
      </c>
      <c r="AK211" s="0" t="n">
        <f aca="false">CEILING(C211/AH211,1)</f>
        <v>4</v>
      </c>
      <c r="AL211" s="0" t="n">
        <f aca="false">(1+Assumptions!$B$26)/POWER(1+Assumptions!$B$2,AH211)</f>
        <v>0.906135810905202</v>
      </c>
      <c r="AM211" s="0" t="n">
        <f aca="false">IF(ABS(1-AL211)&lt;0.000000000001,AK211,(1-POWER(AL211,AK211))/(1-AL211))</f>
        <v>3.47122982028551</v>
      </c>
      <c r="AN211" s="0" t="n">
        <f aca="false">1/POWER(1+Assumptions!$B$2,AH211)</f>
        <v>0.871284433562695</v>
      </c>
      <c r="AO211" s="0" t="n">
        <f aca="false">IF(ABS(1-AN211)&lt;0.000000000001,AK211,AN211*(1-POWER(AN211,AK211))/(1-AN211))</f>
        <v>2.86813319209759</v>
      </c>
      <c r="AP211" s="1" t="n">
        <f aca="false">AJ211*AM211+Assumptions!$B$28*AO211+(-PV(Assumptions!$B$2,C211,R211+T211+AI211))</f>
        <v>86211.1883173668</v>
      </c>
      <c r="AQ211" s="0" t="n">
        <f aca="false">N211*(1+Assumptions!$B$8)</f>
        <v>17972.955</v>
      </c>
      <c r="AR211" s="1" t="n">
        <f aca="false">PMT(Assumptions!$B$5,Assumptions!$B$29,-AQ211)</f>
        <v>554.870501010848</v>
      </c>
      <c r="AS211" s="0" t="n">
        <f aca="false">MAX(0,AD211-H211)</f>
        <v>84</v>
      </c>
      <c r="AT211" s="0" t="n">
        <f aca="false">MIN(Assumptions!$B$29,AS211)</f>
        <v>36</v>
      </c>
      <c r="AU211" s="0" t="n">
        <f aca="false">IF(AS211&gt;=Assumptions!$B$29,0,-PV(Assumptions!$B$5,Assumptions!$B$29-AS211,AR211))</f>
        <v>0</v>
      </c>
      <c r="AV211" s="1" t="n">
        <f aca="false">(-PV(Assumptions!$B$3,AT211,AR211))/POWER(1+Assumptions!$B$2,AH211)</f>
        <v>16203.3689898503</v>
      </c>
      <c r="AW211" s="1" t="n">
        <f aca="false">-PV(Assumptions!$B$2,AH211,T211+AI211)</f>
        <v>5318.41766002654</v>
      </c>
      <c r="AX211" s="1" t="n">
        <f aca="false">(-PV(Assumptions!$B$2,C211,S211))-(-PV(Assumptions!$B$2,AH211,S211))</f>
        <v>8919.48888629116</v>
      </c>
      <c r="AY211" s="1" t="n">
        <f aca="false">AJ211+AW211+AX211+(-PV(Assumptions!$B$2,C211,R211))+X211-(W211/POWER(1+Assumptions!$B$2,C211))</f>
        <v>40697.2507634859</v>
      </c>
      <c r="AZ211" s="1" t="n">
        <f aca="false">AY211+AV211+(AU211/POWER(1+Assumptions!$B$2,C211))</f>
        <v>56900.6197533363</v>
      </c>
      <c r="BA211" s="0" t="n">
        <f aca="false">AQ211/POWER(1+Assumptions!$B$2,AH211)</f>
        <v>15659.5559166228</v>
      </c>
      <c r="BB211" s="1" t="n">
        <f aca="false">AY211+BA211</f>
        <v>56356.8066801087</v>
      </c>
      <c r="BC211" s="1" t="n">
        <f aca="false">AJ211+Assumptions!$B$28/POWER(1+Assumptions!$B$2,AH211)+(-PV(Assumptions!$B$2,AH211,R211+T211+AI211))</f>
        <v>26437.5405029159</v>
      </c>
      <c r="BD211" s="1" t="n">
        <f aca="false">MIN(Z211,AG211,AZ211)</f>
        <v>55023.5206192476</v>
      </c>
      <c r="BE211" s="0" t="str">
        <f aca="false">IF(BD211=Z211,"Cash",IF(BD211=AG211,"Loan","Lease then buy out"))</f>
        <v>Cash</v>
      </c>
    </row>
    <row r="212" customFormat="false" ht="15" hidden="false" customHeight="false" outlineLevel="0" collapsed="false">
      <c r="A212" s="0" t="s">
        <v>58</v>
      </c>
      <c r="B212" s="0" t="s">
        <v>128</v>
      </c>
      <c r="C212" s="0" t="n">
        <v>10</v>
      </c>
      <c r="D212" s="0" t="n">
        <v>0</v>
      </c>
      <c r="E212" s="0" t="n">
        <v>23500</v>
      </c>
      <c r="F212" s="0" t="n">
        <v>3269</v>
      </c>
      <c r="G212" s="0" t="n">
        <v>269</v>
      </c>
      <c r="H212" s="0" t="n">
        <v>39</v>
      </c>
      <c r="I212" s="0" t="n">
        <v>33</v>
      </c>
      <c r="J212" s="0" t="n">
        <v>10204</v>
      </c>
      <c r="K212" s="0" t="s">
        <v>99</v>
      </c>
      <c r="L212" s="0" t="n">
        <v>110.4</v>
      </c>
      <c r="M212" s="0" t="n">
        <f aca="false">MAX(Assumptions!$B$33,Assumptions!$B$30-Assumptions!$B$31*(H212-36)-IF(D212=1,Assumptions!$B$32,0))</f>
        <v>0.555</v>
      </c>
      <c r="N212" s="0" t="n">
        <f aca="false">E212*M212</f>
        <v>13042.5</v>
      </c>
      <c r="O212" s="0" t="n">
        <f aca="false">1-POWER(J212/E212,0.1)</f>
        <v>0.0800372161434033</v>
      </c>
      <c r="P212" s="0" t="n">
        <f aca="false">E212*(1+Assumptions!$B$8)+Assumptions!$B$9</f>
        <v>25075</v>
      </c>
      <c r="Q212" s="0" t="n">
        <f aca="false">IF(D212=1,Assumptions!$B$14*33.7,Assumptions!$B$13)</f>
        <v>3.1</v>
      </c>
      <c r="R212" s="0" t="n">
        <f aca="false">(Assumptions!$B$10/I212)*Q212</f>
        <v>939.393939393939</v>
      </c>
      <c r="S212" s="0" t="n">
        <f aca="false">Assumptions!$B$15+Assumptions!$B$17</f>
        <v>1750</v>
      </c>
      <c r="T212" s="0" t="n">
        <f aca="false">Assumptions!$B$15*(1+Assumptions!$B$16)+Assumptions!$B$17</f>
        <v>1942</v>
      </c>
      <c r="U212" s="0" t="n">
        <f aca="false">IF(OR(C212&gt;Assumptions!$B$11,Assumptions!$B$10*C212&gt;Assumptions!$B$12),1,0)</f>
        <v>0</v>
      </c>
      <c r="V212" s="0" t="n">
        <f aca="false">MAX(0.6,1-Assumptions!$B$22*MAX(0,(Assumptions!$B$10-10000)*C212)/10000)</f>
        <v>1</v>
      </c>
      <c r="W212" s="0" t="n">
        <f aca="false">IF(U212=1,Assumptions!$B$23,MAX(Assumptions!$B$23,E212*POWER(1-O212,C212)*V212))</f>
        <v>10204</v>
      </c>
      <c r="X212" s="0" t="n">
        <f aca="true">SUMPRODUCT((ROW(INDIRECT("1:"&amp;C212))&gt;Assumptions!$B$20)*Assumptions!$B$18*POWER(Assumptions!$B$19,ROW(INDIRECT("1:"&amp;C212))-Assumptions!$B$20-1)*IF(ROW(INDIRECT("1:"&amp;C212))&gt;Assumptions!$B$11,Assumptions!$B$21,1)/POWER(1+Assumptions!$B$2,ROW(INDIRECT("1:"&amp;C212))))</f>
        <v>7070.12417022456</v>
      </c>
      <c r="Y212" s="1" t="n">
        <f aca="false">-PV(Assumptions!$B$2,C212,R212+S212)+X212</f>
        <v>28142.8162322071</v>
      </c>
      <c r="Z212" s="1" t="n">
        <f aca="false">P212+Y212-(W212/POWER(1+Assumptions!$B$2,C212))</f>
        <v>46771.6183498468</v>
      </c>
      <c r="AA212" s="0" t="n">
        <f aca="false">P212*Assumptions!$B$7</f>
        <v>2507.5</v>
      </c>
      <c r="AB212" s="0" t="n">
        <f aca="false">P212-AA212</f>
        <v>22567.5</v>
      </c>
      <c r="AC212" s="1" t="n">
        <f aca="false">PMT(Assumptions!$B$5,Assumptions!$B$6,-AB212)</f>
        <v>446.757081880492</v>
      </c>
      <c r="AD212" s="0" t="n">
        <f aca="false">C212*12</f>
        <v>120</v>
      </c>
      <c r="AE212" s="0" t="n">
        <f aca="false">MIN(Assumptions!$B$6,AD212)</f>
        <v>60</v>
      </c>
      <c r="AF212" s="0" t="n">
        <f aca="false">IF(AD212&gt;=Assumptions!$B$6,0,-PV(Assumptions!$B$5,Assumptions!$B$6-AD212,AC212))</f>
        <v>0</v>
      </c>
      <c r="AG212" s="1" t="n">
        <f aca="false">AA212+(-PV(Assumptions!$B$3,AE212,AC212))+Y212-((W212-AF212)/POWER(1+Assumptions!$B$2,C212))</f>
        <v>48051.3863382913</v>
      </c>
      <c r="AH212" s="0" t="n">
        <f aca="false">H212/12</f>
        <v>3.25</v>
      </c>
      <c r="AI212" s="0" t="n">
        <f aca="false">MAX(0,Assumptions!$B$10-Assumptions!$B$24)*Assumptions!$B$25</f>
        <v>0</v>
      </c>
      <c r="AJ212" s="1" t="n">
        <f aca="false">F212+Assumptions!$B$27+(-PV(Assumptions!$B$3,H212-1,G212))</f>
        <v>13449.4805349235</v>
      </c>
      <c r="AK212" s="0" t="n">
        <f aca="false">CEILING(C212/AH212,1)</f>
        <v>4</v>
      </c>
      <c r="AL212" s="0" t="n">
        <f aca="false">(1+Assumptions!$B$26)/POWER(1+Assumptions!$B$2,AH212)</f>
        <v>0.895790853682276</v>
      </c>
      <c r="AM212" s="0" t="n">
        <f aca="false">IF(ABS(1-AL212)&lt;0.000000000001,AK212,(1-POWER(AL212,AK212))/(1-AL212))</f>
        <v>3.41705164276231</v>
      </c>
      <c r="AN212" s="0" t="n">
        <f aca="false">1/POWER(1+Assumptions!$B$2,AH212)</f>
        <v>0.861337359309881</v>
      </c>
      <c r="AO212" s="0" t="n">
        <f aca="false">IF(ABS(1-AN212)&lt;0.000000000001,AK212,AN212*(1-POWER(AN212,AK212))/(1-AN212))</f>
        <v>2.79268600215325</v>
      </c>
      <c r="AP212" s="1" t="n">
        <f aca="false">AJ212*AM212+Assumptions!$B$28*AO212+(-PV(Assumptions!$B$2,C212,R212+T212+AI212))</f>
        <v>69651.7481531415</v>
      </c>
      <c r="AQ212" s="0" t="n">
        <f aca="false">N212*(1+Assumptions!$B$8)</f>
        <v>13694.625</v>
      </c>
      <c r="AR212" s="1" t="n">
        <f aca="false">PMT(Assumptions!$B$5,Assumptions!$B$29,-AQ212)</f>
        <v>422.78765149669</v>
      </c>
      <c r="AS212" s="0" t="n">
        <f aca="false">MAX(0,AD212-H212)</f>
        <v>81</v>
      </c>
      <c r="AT212" s="0" t="n">
        <f aca="false">MIN(Assumptions!$B$29,AS212)</f>
        <v>36</v>
      </c>
      <c r="AU212" s="0" t="n">
        <f aca="false">IF(AS212&gt;=Assumptions!$B$29,0,-PV(Assumptions!$B$5,Assumptions!$B$29-AS212,AR212))</f>
        <v>0</v>
      </c>
      <c r="AV212" s="1" t="n">
        <f aca="false">(-PV(Assumptions!$B$3,AT212,AR212))/POWER(1+Assumptions!$B$2,AH212)</f>
        <v>12205.3239031424</v>
      </c>
      <c r="AW212" s="1" t="n">
        <f aca="false">-PV(Assumptions!$B$2,AH212,T212+AI212)</f>
        <v>5729.42230255769</v>
      </c>
      <c r="AX212" s="1" t="n">
        <f aca="false">(-PV(Assumptions!$B$2,C212,S212))-(-PV(Assumptions!$B$2,AH212,S212))</f>
        <v>8549.11910028215</v>
      </c>
      <c r="AY212" s="1" t="n">
        <f aca="false">AJ212+AW212+AX212+(-PV(Assumptions!$B$2,C212,R212))+X212-(W212/POWER(1+Assumptions!$B$2,C212))</f>
        <v>35712.5505233342</v>
      </c>
      <c r="AZ212" s="1" t="n">
        <f aca="false">AY212+AV212+(AU212/POWER(1+Assumptions!$B$2,C212))</f>
        <v>47917.8744264766</v>
      </c>
      <c r="BA212" s="0" t="n">
        <f aca="false">AQ212/POWER(1+Assumptions!$B$2,AH212)</f>
        <v>11795.6921342391</v>
      </c>
      <c r="BB212" s="1" t="n">
        <f aca="false">AY212+BA212</f>
        <v>47508.2426575733</v>
      </c>
      <c r="BC212" s="1" t="n">
        <f aca="false">AJ212+Assumptions!$B$28/POWER(1+Assumptions!$B$2,AH212)+(-PV(Assumptions!$B$2,AH212,R212+T212+AI212))</f>
        <v>22294.9025532191</v>
      </c>
      <c r="BD212" s="1" t="n">
        <f aca="false">MIN(Z212,AG212,AZ212)</f>
        <v>46771.6183498468</v>
      </c>
      <c r="BE212" s="0" t="str">
        <f aca="false">IF(BD212=Z212,"Cash",IF(BD212=AG212,"Loan","Lease then buy out"))</f>
        <v>Cash</v>
      </c>
    </row>
    <row r="213" customFormat="false" ht="15" hidden="false" customHeight="false" outlineLevel="0" collapsed="false">
      <c r="A213" s="0" t="s">
        <v>55</v>
      </c>
      <c r="B213" s="0" t="s">
        <v>129</v>
      </c>
      <c r="C213" s="0" t="n">
        <v>10</v>
      </c>
      <c r="D213" s="0" t="n">
        <v>0</v>
      </c>
      <c r="E213" s="0" t="n">
        <v>37100</v>
      </c>
      <c r="F213" s="0" t="n">
        <v>4409</v>
      </c>
      <c r="G213" s="0" t="n">
        <v>499</v>
      </c>
      <c r="H213" s="0" t="n">
        <v>36</v>
      </c>
      <c r="I213" s="0" t="n">
        <v>20</v>
      </c>
      <c r="J213" s="0" t="n">
        <v>16255</v>
      </c>
      <c r="K213" s="0" t="s">
        <v>99</v>
      </c>
      <c r="L213" s="0" t="n">
        <v>90.1</v>
      </c>
      <c r="M213" s="0" t="n">
        <f aca="false">MAX(Assumptions!$B$33,Assumptions!$B$30-Assumptions!$B$31*(H213-36)-IF(D213=1,Assumptions!$B$32,0))</f>
        <v>0.57</v>
      </c>
      <c r="N213" s="0" t="n">
        <f aca="false">E213*M213</f>
        <v>21147</v>
      </c>
      <c r="O213" s="0" t="n">
        <f aca="false">1-POWER(J213/E213,0.1)</f>
        <v>0.079208489747256</v>
      </c>
      <c r="P213" s="0" t="n">
        <f aca="false">E213*(1+Assumptions!$B$8)+Assumptions!$B$9</f>
        <v>39355</v>
      </c>
      <c r="Q213" s="0" t="n">
        <f aca="false">IF(D213=1,Assumptions!$B$14*33.7,Assumptions!$B$13)</f>
        <v>3.1</v>
      </c>
      <c r="R213" s="0" t="n">
        <f aca="false">(Assumptions!$B$10/I213)*Q213</f>
        <v>1550</v>
      </c>
      <c r="S213" s="0" t="n">
        <f aca="false">Assumptions!$B$15+Assumptions!$B$17</f>
        <v>1750</v>
      </c>
      <c r="T213" s="0" t="n">
        <f aca="false">Assumptions!$B$15*(1+Assumptions!$B$16)+Assumptions!$B$17</f>
        <v>1942</v>
      </c>
      <c r="U213" s="0" t="n">
        <f aca="false">IF(OR(C213&gt;Assumptions!$B$11,Assumptions!$B$10*C213&gt;Assumptions!$B$12),1,0)</f>
        <v>0</v>
      </c>
      <c r="V213" s="0" t="n">
        <f aca="false">MAX(0.6,1-Assumptions!$B$22*MAX(0,(Assumptions!$B$10-10000)*C213)/10000)</f>
        <v>1</v>
      </c>
      <c r="W213" s="0" t="n">
        <f aca="false">IF(U213=1,Assumptions!$B$23,MAX(Assumptions!$B$23,E213*POWER(1-O213,C213)*V213))</f>
        <v>16255</v>
      </c>
      <c r="X213" s="0" t="n">
        <f aca="true">SUMPRODUCT((ROW(INDIRECT("1:"&amp;C213))&gt;Assumptions!$B$20)*Assumptions!$B$18*POWER(Assumptions!$B$19,ROW(INDIRECT("1:"&amp;C213))-Assumptions!$B$20-1)*IF(ROW(INDIRECT("1:"&amp;C213))&gt;Assumptions!$B$11,Assumptions!$B$21,1)/POWER(1+Assumptions!$B$2,ROW(INDIRECT("1:"&amp;C213))))</f>
        <v>7070.12417022456</v>
      </c>
      <c r="Y213" s="1" t="n">
        <f aca="false">-PV(Assumptions!$B$2,C213,R213+S213)+X213</f>
        <v>32927.2077257164</v>
      </c>
      <c r="Z213" s="1" t="n">
        <f aca="false">P213+Y213-(W213/POWER(1+Assumptions!$B$2,C213))</f>
        <v>62013.396810608</v>
      </c>
      <c r="AA213" s="0" t="n">
        <f aca="false">P213*Assumptions!$B$7</f>
        <v>3935.5</v>
      </c>
      <c r="AB213" s="0" t="n">
        <f aca="false">P213-AA213</f>
        <v>35419.5</v>
      </c>
      <c r="AC213" s="1" t="n">
        <f aca="false">PMT(Assumptions!$B$5,Assumptions!$B$6,-AB213)</f>
        <v>701.181453934466</v>
      </c>
      <c r="AD213" s="0" t="n">
        <f aca="false">C213*12</f>
        <v>120</v>
      </c>
      <c r="AE213" s="0" t="n">
        <f aca="false">MIN(Assumptions!$B$6,AD213)</f>
        <v>60</v>
      </c>
      <c r="AF213" s="0" t="n">
        <f aca="false">IF(AD213&gt;=Assumptions!$B$6,0,-PV(Assumptions!$B$5,Assumptions!$B$6-AD213,AC213))</f>
        <v>0</v>
      </c>
      <c r="AG213" s="1" t="n">
        <f aca="false">AA213+(-PV(Assumptions!$B$3,AE213,AC213))+Y213-((W213-AF213)/POWER(1+Assumptions!$B$2,C213))</f>
        <v>64021.9818229801</v>
      </c>
      <c r="AH213" s="0" t="n">
        <f aca="false">H213/12</f>
        <v>3</v>
      </c>
      <c r="AI213" s="0" t="n">
        <f aca="false">MAX(0,Assumptions!$B$10-Assumptions!$B$24)*Assumptions!$B$25</f>
        <v>0</v>
      </c>
      <c r="AJ213" s="1" t="n">
        <f aca="false">F213+Assumptions!$B$27+(-PV(Assumptions!$B$3,H213-1,G213))</f>
        <v>21400.0480995434</v>
      </c>
      <c r="AK213" s="0" t="n">
        <f aca="false">CEILING(C213/AH213,1)</f>
        <v>4</v>
      </c>
      <c r="AL213" s="0" t="n">
        <f aca="false">(1+Assumptions!$B$26)/POWER(1+Assumptions!$B$2,AH213)</f>
        <v>0.906135810905202</v>
      </c>
      <c r="AM213" s="0" t="n">
        <f aca="false">IF(ABS(1-AL213)&lt;0.000000000001,AK213,(1-POWER(AL213,AK213))/(1-AL213))</f>
        <v>3.47122982028551</v>
      </c>
      <c r="AN213" s="0" t="n">
        <f aca="false">1/POWER(1+Assumptions!$B$2,AH213)</f>
        <v>0.871284433562695</v>
      </c>
      <c r="AO213" s="0" t="n">
        <f aca="false">IF(ABS(1-AN213)&lt;0.000000000001,AK213,AN213*(1-POWER(AN213,AK213))/(1-AN213))</f>
        <v>2.86813319209759</v>
      </c>
      <c r="AP213" s="1" t="n">
        <f aca="false">AJ213*AM213+Assumptions!$B$28*AO213+(-PV(Assumptions!$B$2,C213,R213+T213+AI213))</f>
        <v>102793.234085148</v>
      </c>
      <c r="AQ213" s="0" t="n">
        <f aca="false">N213*(1+Assumptions!$B$8)</f>
        <v>22204.35</v>
      </c>
      <c r="AR213" s="1" t="n">
        <f aca="false">PMT(Assumptions!$B$5,Assumptions!$B$29,-AQ213)</f>
        <v>685.504348568181</v>
      </c>
      <c r="AS213" s="0" t="n">
        <f aca="false">MAX(0,AD213-H213)</f>
        <v>84</v>
      </c>
      <c r="AT213" s="0" t="n">
        <f aca="false">MIN(Assumptions!$B$29,AS213)</f>
        <v>36</v>
      </c>
      <c r="AU213" s="0" t="n">
        <f aca="false">IF(AS213&gt;=Assumptions!$B$29,0,-PV(Assumptions!$B$5,Assumptions!$B$29-AS213,AR213))</f>
        <v>0</v>
      </c>
      <c r="AV213" s="1" t="n">
        <f aca="false">(-PV(Assumptions!$B$3,AT213,AR213))/POWER(1+Assumptions!$B$2,AH213)</f>
        <v>20018.148169279</v>
      </c>
      <c r="AW213" s="1" t="n">
        <f aca="false">-PV(Assumptions!$B$2,AH213,T213+AI213)</f>
        <v>5318.41766002654</v>
      </c>
      <c r="AX213" s="1" t="n">
        <f aca="false">(-PV(Assumptions!$B$2,C213,S213))-(-PV(Assumptions!$B$2,AH213,S213))</f>
        <v>8919.48888629116</v>
      </c>
      <c r="AY213" s="1" t="n">
        <f aca="false">AJ213+AW213+AX213+(-PV(Assumptions!$B$2,C213,R213))+X213-(W213/POWER(1+Assumptions!$B$2,C213))</f>
        <v>44584.2616921931</v>
      </c>
      <c r="AZ213" s="1" t="n">
        <f aca="false">AY213+AV213+(AU213/POWER(1+Assumptions!$B$2,C213))</f>
        <v>64602.4098614721</v>
      </c>
      <c r="BA213" s="0" t="n">
        <f aca="false">AQ213/POWER(1+Assumptions!$B$2,AH213)</f>
        <v>19346.3045123778</v>
      </c>
      <c r="BB213" s="1" t="n">
        <f aca="false">AY213+BA213</f>
        <v>63930.566204571</v>
      </c>
      <c r="BC213" s="1" t="n">
        <f aca="false">AJ213+Assumptions!$B$28/POWER(1+Assumptions!$B$2,AH213)+(-PV(Assumptions!$B$2,AH213,R213+T213+AI213))</f>
        <v>31311.854596353</v>
      </c>
      <c r="BD213" s="1" t="n">
        <f aca="false">MIN(Z213,AG213,AZ213)</f>
        <v>62013.396810608</v>
      </c>
      <c r="BE213" s="0" t="str">
        <f aca="false">IF(BD213=Z213,"Cash",IF(BD213=AG213,"Loan","Lease then buy out"))</f>
        <v>Cash</v>
      </c>
    </row>
    <row r="214" customFormat="false" ht="15" hidden="false" customHeight="false" outlineLevel="0" collapsed="false">
      <c r="A214" s="0" t="s">
        <v>41</v>
      </c>
      <c r="B214" s="0" t="s">
        <v>130</v>
      </c>
      <c r="C214" s="0" t="n">
        <v>10</v>
      </c>
      <c r="D214" s="0" t="n">
        <v>0</v>
      </c>
      <c r="E214" s="0" t="n">
        <v>40457</v>
      </c>
      <c r="F214" s="0" t="n">
        <v>2920</v>
      </c>
      <c r="G214" s="0" t="n">
        <v>420</v>
      </c>
      <c r="H214" s="0" t="n">
        <v>36</v>
      </c>
      <c r="I214" s="0" t="n">
        <v>22</v>
      </c>
      <c r="J214" s="0" t="n">
        <v>12016</v>
      </c>
      <c r="K214" s="0" t="s">
        <v>99</v>
      </c>
      <c r="L214" s="0" t="n">
        <v>183.8</v>
      </c>
      <c r="M214" s="0" t="n">
        <f aca="false">MAX(Assumptions!$B$33,Assumptions!$B$30-Assumptions!$B$31*(H214-36)-IF(D214=1,Assumptions!$B$32,0))</f>
        <v>0.57</v>
      </c>
      <c r="N214" s="0" t="n">
        <f aca="false">E214*M214</f>
        <v>23060.49</v>
      </c>
      <c r="O214" s="0" t="n">
        <f aca="false">1-POWER(J214/E214,0.1)</f>
        <v>0.114320435077221</v>
      </c>
      <c r="P214" s="0" t="n">
        <f aca="false">E214*(1+Assumptions!$B$8)+Assumptions!$B$9</f>
        <v>42879.85</v>
      </c>
      <c r="Q214" s="0" t="n">
        <f aca="false">IF(D214=1,Assumptions!$B$14*33.7,Assumptions!$B$13)</f>
        <v>3.1</v>
      </c>
      <c r="R214" s="0" t="n">
        <f aca="false">(Assumptions!$B$10/I214)*Q214</f>
        <v>1409.09090909091</v>
      </c>
      <c r="S214" s="0" t="n">
        <f aca="false">Assumptions!$B$15+Assumptions!$B$17</f>
        <v>1750</v>
      </c>
      <c r="T214" s="0" t="n">
        <f aca="false">Assumptions!$B$15*(1+Assumptions!$B$16)+Assumptions!$B$17</f>
        <v>1942</v>
      </c>
      <c r="U214" s="0" t="n">
        <f aca="false">IF(OR(C214&gt;Assumptions!$B$11,Assumptions!$B$10*C214&gt;Assumptions!$B$12),1,0)</f>
        <v>0</v>
      </c>
      <c r="V214" s="0" t="n">
        <f aca="false">MAX(0.6,1-Assumptions!$B$22*MAX(0,(Assumptions!$B$10-10000)*C214)/10000)</f>
        <v>1</v>
      </c>
      <c r="W214" s="0" t="n">
        <f aca="false">IF(U214=1,Assumptions!$B$23,MAX(Assumptions!$B$23,E214*POWER(1-O214,C214)*V214))</f>
        <v>12016</v>
      </c>
      <c r="X214" s="0" t="n">
        <f aca="true">SUMPRODUCT((ROW(INDIRECT("1:"&amp;C214))&gt;Assumptions!$B$20)*Assumptions!$B$18*POWER(Assumptions!$B$19,ROW(INDIRECT("1:"&amp;C214))-Assumptions!$B$20-1)*IF(ROW(INDIRECT("1:"&amp;C214))&gt;Assumptions!$B$11,Assumptions!$B$21,1)/POWER(1+Assumptions!$B$2,ROW(INDIRECT("1:"&amp;C214))))</f>
        <v>7070.12417022456</v>
      </c>
      <c r="Y214" s="1" t="n">
        <f aca="false">-PV(Assumptions!$B$2,C214,R214+S214)+X214</f>
        <v>31823.1173810604</v>
      </c>
      <c r="Z214" s="1" t="n">
        <f aca="false">P214+Y214-(W214/POWER(1+Assumptions!$B$2,C214))</f>
        <v>67112.0703059486</v>
      </c>
      <c r="AA214" s="0" t="n">
        <f aca="false">P214*Assumptions!$B$7</f>
        <v>4287.985</v>
      </c>
      <c r="AB214" s="0" t="n">
        <f aca="false">P214-AA214</f>
        <v>38591.865</v>
      </c>
      <c r="AC214" s="1" t="n">
        <f aca="false">PMT(Assumptions!$B$5,Assumptions!$B$6,-AB214)</f>
        <v>763.983116948084</v>
      </c>
      <c r="AD214" s="0" t="n">
        <f aca="false">C214*12</f>
        <v>120</v>
      </c>
      <c r="AE214" s="0" t="n">
        <f aca="false">MIN(Assumptions!$B$6,AD214)</f>
        <v>60</v>
      </c>
      <c r="AF214" s="0" t="n">
        <f aca="false">IF(AD214&gt;=Assumptions!$B$6,0,-PV(Assumptions!$B$5,Assumptions!$B$6-AD214,AC214))</f>
        <v>0</v>
      </c>
      <c r="AG214" s="1" t="n">
        <f aca="false">AA214+(-PV(Assumptions!$B$3,AE214,AC214))+Y214-((W214-AF214)/POWER(1+Assumptions!$B$2,C214))</f>
        <v>69300.5552263594</v>
      </c>
      <c r="AH214" s="0" t="n">
        <f aca="false">H214/12</f>
        <v>3</v>
      </c>
      <c r="AI214" s="0" t="n">
        <f aca="false">MAX(0,Assumptions!$B$10-Assumptions!$B$24)*Assumptions!$B$25</f>
        <v>0</v>
      </c>
      <c r="AJ214" s="1" t="n">
        <f aca="false">F214+Assumptions!$B$27+(-PV(Assumptions!$B$3,H214-1,G214))</f>
        <v>17331.9042120405</v>
      </c>
      <c r="AK214" s="0" t="n">
        <f aca="false">CEILING(C214/AH214,1)</f>
        <v>4</v>
      </c>
      <c r="AL214" s="0" t="n">
        <f aca="false">(1+Assumptions!$B$26)/POWER(1+Assumptions!$B$2,AH214)</f>
        <v>0.906135810905202</v>
      </c>
      <c r="AM214" s="0" t="n">
        <f aca="false">IF(ABS(1-AL214)&lt;0.000000000001,AK214,(1-POWER(AL214,AK214))/(1-AL214))</f>
        <v>3.47122982028551</v>
      </c>
      <c r="AN214" s="0" t="n">
        <f aca="false">1/POWER(1+Assumptions!$B$2,AH214)</f>
        <v>0.871284433562695</v>
      </c>
      <c r="AO214" s="0" t="n">
        <f aca="false">IF(ABS(1-AN214)&lt;0.000000000001,AK214,AN214*(1-POWER(AN214,AK214))/(1-AN214))</f>
        <v>2.86813319209759</v>
      </c>
      <c r="AP214" s="1" t="n">
        <f aca="false">AJ214*AM214+Assumptions!$B$28*AO214+(-PV(Assumptions!$B$2,C214,R214+T214+AI214))</f>
        <v>87567.6813649797</v>
      </c>
      <c r="AQ214" s="0" t="n">
        <f aca="false">N214*(1+Assumptions!$B$8)</f>
        <v>24213.5145</v>
      </c>
      <c r="AR214" s="1" t="n">
        <f aca="false">PMT(Assumptions!$B$5,Assumptions!$B$29,-AQ214)</f>
        <v>747.532329650213</v>
      </c>
      <c r="AS214" s="0" t="n">
        <f aca="false">MAX(0,AD214-H214)</f>
        <v>84</v>
      </c>
      <c r="AT214" s="0" t="n">
        <f aca="false">MIN(Assumptions!$B$29,AS214)</f>
        <v>36</v>
      </c>
      <c r="AU214" s="0" t="n">
        <f aca="false">IF(AS214&gt;=Assumptions!$B$29,0,-PV(Assumptions!$B$5,Assumptions!$B$29-AS214,AR214))</f>
        <v>0</v>
      </c>
      <c r="AV214" s="1" t="n">
        <f aca="false">(-PV(Assumptions!$B$3,AT214,AR214))/POWER(1+Assumptions!$B$2,AH214)</f>
        <v>21829.4938135989</v>
      </c>
      <c r="AW214" s="1" t="n">
        <f aca="false">-PV(Assumptions!$B$2,AH214,T214+AI214)</f>
        <v>5318.41766002654</v>
      </c>
      <c r="AX214" s="1" t="n">
        <f aca="false">(-PV(Assumptions!$B$2,C214,S214))-(-PV(Assumptions!$B$2,AH214,S214))</f>
        <v>8919.48888629116</v>
      </c>
      <c r="AY214" s="1" t="n">
        <f aca="false">AJ214+AW214+AX214+(-PV(Assumptions!$B$2,C214,R214))+X214-(W214/POWER(1+Assumptions!$B$2,C214))</f>
        <v>42089.9413000309</v>
      </c>
      <c r="AZ214" s="1" t="n">
        <f aca="false">AY214+AV214+(AU214/POWER(1+Assumptions!$B$2,C214))</f>
        <v>63919.4351136298</v>
      </c>
      <c r="BA214" s="0" t="n">
        <f aca="false">AQ214/POWER(1+Assumptions!$B$2,AH214)</f>
        <v>21096.8582656946</v>
      </c>
      <c r="BB214" s="1" t="n">
        <f aca="false">AY214+BA214</f>
        <v>63186.7995657254</v>
      </c>
      <c r="BC214" s="1" t="n">
        <f aca="false">AJ214+Assumptions!$B$28/POWER(1+Assumptions!$B$2,AH214)+(-PV(Assumptions!$B$2,AH214,R214+T214+AI214))</f>
        <v>26857.8129758176</v>
      </c>
      <c r="BD214" s="1" t="n">
        <f aca="false">MIN(Z214,AG214,AZ214)</f>
        <v>63919.4351136298</v>
      </c>
      <c r="BE214" s="0" t="str">
        <f aca="false">IF(BD214=Z214,"Cash",IF(BD214=AG214,"Loan","Lease then buy out"))</f>
        <v>Lease then buy out</v>
      </c>
    </row>
    <row r="215" customFormat="false" ht="15" hidden="false" customHeight="false" outlineLevel="0" collapsed="false">
      <c r="A215" s="0" t="s">
        <v>51</v>
      </c>
      <c r="B215" s="0" t="s">
        <v>131</v>
      </c>
      <c r="C215" s="0" t="n">
        <v>10</v>
      </c>
      <c r="D215" s="0" t="n">
        <v>1</v>
      </c>
      <c r="E215" s="0" t="n">
        <v>32180</v>
      </c>
      <c r="F215" s="0" t="n">
        <v>2983</v>
      </c>
      <c r="G215" s="0" t="n">
        <v>483</v>
      </c>
      <c r="H215" s="0" t="n">
        <v>36</v>
      </c>
      <c r="I215" s="0" t="n">
        <v>120</v>
      </c>
      <c r="J215" s="0" t="n">
        <v>6700</v>
      </c>
      <c r="K215" s="0" t="s">
        <v>99</v>
      </c>
      <c r="L215" s="0" t="n">
        <v>148.9</v>
      </c>
      <c r="M215" s="0" t="n">
        <f aca="false">MAX(Assumptions!$B$33,Assumptions!$B$30-Assumptions!$B$31*(H215-36)-IF(D215=1,Assumptions!$B$32,0))</f>
        <v>0.49</v>
      </c>
      <c r="N215" s="0" t="n">
        <f aca="false">E215*M215</f>
        <v>15768.2</v>
      </c>
      <c r="O215" s="0" t="n">
        <f aca="false">1-POWER(J215/E215,0.1)</f>
        <v>0.145230777357263</v>
      </c>
      <c r="P215" s="0" t="n">
        <f aca="false">E215*(1+Assumptions!$B$8)+Assumptions!$B$9</f>
        <v>34189</v>
      </c>
      <c r="Q215" s="0" t="n">
        <f aca="false">IF(D215=1,Assumptions!$B$14*33.7,Assumptions!$B$13)</f>
        <v>5.729</v>
      </c>
      <c r="R215" s="0" t="n">
        <f aca="false">(Assumptions!$B$10/I215)*Q215</f>
        <v>477.416666666667</v>
      </c>
      <c r="S215" s="0" t="n">
        <f aca="false">Assumptions!$B$15+Assumptions!$B$17</f>
        <v>1750</v>
      </c>
      <c r="T215" s="0" t="n">
        <f aca="false">Assumptions!$B$15*(1+Assumptions!$B$16)+Assumptions!$B$17</f>
        <v>1942</v>
      </c>
      <c r="U215" s="0" t="n">
        <f aca="false">IF(OR(C215&gt;Assumptions!$B$11,Assumptions!$B$10*C215&gt;Assumptions!$B$12),1,0)</f>
        <v>0</v>
      </c>
      <c r="V215" s="0" t="n">
        <f aca="false">MAX(0.6,1-Assumptions!$B$22*MAX(0,(Assumptions!$B$10-10000)*C215)/10000)</f>
        <v>1</v>
      </c>
      <c r="W215" s="0" t="n">
        <f aca="false">IF(U215=1,Assumptions!$B$23,MAX(Assumptions!$B$23,E215*POWER(1-O215,C215)*V215))</f>
        <v>6700</v>
      </c>
      <c r="X215" s="0" t="n">
        <f aca="true">SUMPRODUCT((ROW(INDIRECT("1:"&amp;C215))&gt;Assumptions!$B$20)*Assumptions!$B$18*POWER(Assumptions!$B$19,ROW(INDIRECT("1:"&amp;C215))-Assumptions!$B$20-1)*IF(ROW(INDIRECT("1:"&amp;C215))&gt;Assumptions!$B$11,Assumptions!$B$21,1)/POWER(1+Assumptions!$B$2,ROW(INDIRECT("1:"&amp;C215))))</f>
        <v>7070.12417022456</v>
      </c>
      <c r="Y215" s="1" t="n">
        <f aca="false">-PV(Assumptions!$B$2,C215,R215+S215)+X215</f>
        <v>24523.0026135261</v>
      </c>
      <c r="Z215" s="1" t="n">
        <f aca="false">P215+Y215-(W215/POWER(1+Assumptions!$B$2,C215))</f>
        <v>54479.3952231092</v>
      </c>
      <c r="AA215" s="0" t="n">
        <f aca="false">P215*Assumptions!$B$7</f>
        <v>3418.9</v>
      </c>
      <c r="AB215" s="0" t="n">
        <f aca="false">P215-AA215</f>
        <v>30770.1</v>
      </c>
      <c r="AC215" s="1" t="n">
        <f aca="false">PMT(Assumptions!$B$5,Assumptions!$B$6,-AB215)</f>
        <v>609.139695809058</v>
      </c>
      <c r="AD215" s="0" t="n">
        <f aca="false">C215*12</f>
        <v>120</v>
      </c>
      <c r="AE215" s="0" t="n">
        <f aca="false">MIN(Assumptions!$B$6,AD215)</f>
        <v>60</v>
      </c>
      <c r="AF215" s="0" t="n">
        <f aca="false">IF(AD215&gt;=Assumptions!$B$6,0,-PV(Assumptions!$B$5,Assumptions!$B$6-AD215,AC215))</f>
        <v>0</v>
      </c>
      <c r="AG215" s="1" t="n">
        <f aca="false">AA215+(-PV(Assumptions!$B$3,AE215,AC215))+Y215-((W215-AF215)/POWER(1+Assumptions!$B$2,C215))</f>
        <v>56224.3199591781</v>
      </c>
      <c r="AH215" s="0" t="n">
        <f aca="false">H215/12</f>
        <v>3</v>
      </c>
      <c r="AI215" s="0" t="n">
        <f aca="false">MAX(0,Assumptions!$B$10-Assumptions!$B$24)*Assumptions!$B$25</f>
        <v>0</v>
      </c>
      <c r="AJ215" s="1" t="n">
        <f aca="false">F215+Assumptions!$B$27+(-PV(Assumptions!$B$3,H215-1,G215))</f>
        <v>19451.6898438466</v>
      </c>
      <c r="AK215" s="0" t="n">
        <f aca="false">CEILING(C215/AH215,1)</f>
        <v>4</v>
      </c>
      <c r="AL215" s="0" t="n">
        <f aca="false">(1+Assumptions!$B$26)/POWER(1+Assumptions!$B$2,AH215)</f>
        <v>0.906135810905202</v>
      </c>
      <c r="AM215" s="0" t="n">
        <f aca="false">IF(ABS(1-AL215)&lt;0.000000000001,AK215,(1-POWER(AL215,AK215))/(1-AL215))</f>
        <v>3.47122982028551</v>
      </c>
      <c r="AN215" s="0" t="n">
        <f aca="false">1/POWER(1+Assumptions!$B$2,AH215)</f>
        <v>0.871284433562695</v>
      </c>
      <c r="AO215" s="0" t="n">
        <f aca="false">IF(ABS(1-AN215)&lt;0.000000000001,AK215,AN215*(1-POWER(AN215,AK215))/(1-AN215))</f>
        <v>2.86813319209759</v>
      </c>
      <c r="AP215" s="1" t="n">
        <f aca="false">AJ215*AM215+Assumptions!$B$28*AO215+(-PV(Assumptions!$B$2,C215,R215+T215+AI215))</f>
        <v>87625.8296951834</v>
      </c>
      <c r="AQ215" s="0" t="n">
        <f aca="false">N215*(1+Assumptions!$B$8)</f>
        <v>16556.61</v>
      </c>
      <c r="AR215" s="1" t="n">
        <f aca="false">PMT(Assumptions!$B$5,Assumptions!$B$29,-AQ215)</f>
        <v>511.144354711911</v>
      </c>
      <c r="AS215" s="0" t="n">
        <f aca="false">MAX(0,AD215-H215)</f>
        <v>84</v>
      </c>
      <c r="AT215" s="0" t="n">
        <f aca="false">MIN(Assumptions!$B$29,AS215)</f>
        <v>36</v>
      </c>
      <c r="AU215" s="0" t="n">
        <f aca="false">IF(AS215&gt;=Assumptions!$B$29,0,-PV(Assumptions!$B$5,Assumptions!$B$29-AS215,AR215))</f>
        <v>0</v>
      </c>
      <c r="AV215" s="1" t="n">
        <f aca="false">(-PV(Assumptions!$B$3,AT215,AR215))/POWER(1+Assumptions!$B$2,AH215)</f>
        <v>14926.4748646534</v>
      </c>
      <c r="AW215" s="1" t="n">
        <f aca="false">-PV(Assumptions!$B$2,AH215,T215+AI215)</f>
        <v>5318.41766002654</v>
      </c>
      <c r="AX215" s="1" t="n">
        <f aca="false">(-PV(Assumptions!$B$2,C215,S215))-(-PV(Assumptions!$B$2,AH215,S215))</f>
        <v>8919.48888629116</v>
      </c>
      <c r="AY215" s="1" t="n">
        <f aca="false">AJ215+AW215+AX215+(-PV(Assumptions!$B$2,C215,R215))+X215-(W215/POWER(1+Assumptions!$B$2,C215))</f>
        <v>40267.9018489976</v>
      </c>
      <c r="AZ215" s="1" t="n">
        <f aca="false">AY215+AV215+(AU215/POWER(1+Assumptions!$B$2,C215))</f>
        <v>55194.376713651</v>
      </c>
      <c r="BA215" s="0" t="n">
        <f aca="false">AQ215/POWER(1+Assumptions!$B$2,AH215)</f>
        <v>14425.5165655684</v>
      </c>
      <c r="BB215" s="1" t="n">
        <f aca="false">AY215+BA215</f>
        <v>54693.418414566</v>
      </c>
      <c r="BC215" s="1" t="n">
        <f aca="false">AJ215+Assumptions!$B$28/POWER(1+Assumptions!$B$2,AH215)+(-PV(Assumptions!$B$2,AH215,R215+T215+AI215))</f>
        <v>26426.0884406304</v>
      </c>
      <c r="BD215" s="1" t="n">
        <f aca="false">MIN(Z215,AG215,AZ215)</f>
        <v>54479.3952231092</v>
      </c>
      <c r="BE215" s="0" t="str">
        <f aca="false">IF(BD215=Z215,"Cash",IF(BD215=AG215,"Loan","Lease then buy out"))</f>
        <v>Cash</v>
      </c>
    </row>
    <row r="216" customFormat="false" ht="15" hidden="false" customHeight="false" outlineLevel="0" collapsed="false">
      <c r="A216" s="0" t="s">
        <v>48</v>
      </c>
      <c r="B216" s="0" t="s">
        <v>132</v>
      </c>
      <c r="C216" s="0" t="n">
        <v>10</v>
      </c>
      <c r="D216" s="0" t="n">
        <v>0</v>
      </c>
      <c r="E216" s="0" t="n">
        <v>46040</v>
      </c>
      <c r="F216" s="0" t="n">
        <v>6059</v>
      </c>
      <c r="G216" s="0" t="n">
        <v>649</v>
      </c>
      <c r="H216" s="0" t="n">
        <v>36</v>
      </c>
      <c r="I216" s="0" t="n">
        <v>18</v>
      </c>
      <c r="J216" s="0" t="n">
        <v>11923</v>
      </c>
      <c r="K216" s="0" t="s">
        <v>107</v>
      </c>
      <c r="L216" s="0" t="n">
        <v>90.2</v>
      </c>
      <c r="M216" s="0" t="n">
        <f aca="false">MAX(Assumptions!$B$33,Assumptions!$B$30-Assumptions!$B$31*(H216-36)-IF(D216=1,Assumptions!$B$32,0))</f>
        <v>0.57</v>
      </c>
      <c r="N216" s="0" t="n">
        <f aca="false">E216*M216</f>
        <v>26242.8</v>
      </c>
      <c r="O216" s="0" t="n">
        <f aca="false">1-POWER(J216/E216,0.1)</f>
        <v>0.126375061519032</v>
      </c>
      <c r="P216" s="0" t="n">
        <f aca="false">E216*(1+Assumptions!$B$8)+Assumptions!$B$9</f>
        <v>48742</v>
      </c>
      <c r="Q216" s="0" t="n">
        <f aca="false">IF(D216=1,Assumptions!$B$14*33.7,Assumptions!$B$13)</f>
        <v>3.1</v>
      </c>
      <c r="R216" s="0" t="n">
        <f aca="false">(Assumptions!$B$10/I216)*Q216</f>
        <v>1722.22222222222</v>
      </c>
      <c r="S216" s="0" t="n">
        <f aca="false">Assumptions!$B$15+Assumptions!$B$17</f>
        <v>1750</v>
      </c>
      <c r="T216" s="0" t="n">
        <f aca="false">Assumptions!$B$15*(1+Assumptions!$B$16)+Assumptions!$B$17</f>
        <v>1942</v>
      </c>
      <c r="U216" s="0" t="n">
        <f aca="false">IF(OR(C216&gt;Assumptions!$B$11,Assumptions!$B$10*C216&gt;Assumptions!$B$12),1,0)</f>
        <v>0</v>
      </c>
      <c r="V216" s="0" t="n">
        <f aca="false">MAX(0.6,1-Assumptions!$B$22*MAX(0,(Assumptions!$B$10-10000)*C216)/10000)</f>
        <v>1</v>
      </c>
      <c r="W216" s="0" t="n">
        <f aca="false">IF(U216=1,Assumptions!$B$23,MAX(Assumptions!$B$23,E216*POWER(1-O216,C216)*V216))</f>
        <v>11923</v>
      </c>
      <c r="X216" s="0" t="n">
        <f aca="true">SUMPRODUCT((ROW(INDIRECT("1:"&amp;C216))&gt;Assumptions!$B$20)*Assumptions!$B$18*POWER(Assumptions!$B$19,ROW(INDIRECT("1:"&amp;C216))-Assumptions!$B$20-1)*IF(ROW(INDIRECT("1:"&amp;C216))&gt;Assumptions!$B$11,Assumptions!$B$21,1)/POWER(1+Assumptions!$B$2,ROW(INDIRECT("1:"&amp;C216))))</f>
        <v>7070.12417022456</v>
      </c>
      <c r="Y216" s="1" t="n">
        <f aca="false">-PV(Assumptions!$B$2,C216,R216+S216)+X216</f>
        <v>34276.6514802959</v>
      </c>
      <c r="Z216" s="1" t="n">
        <f aca="false">P216+Y216-(W216/POWER(1+Assumptions!$B$2,C216))</f>
        <v>75486.5055226929</v>
      </c>
      <c r="AA216" s="0" t="n">
        <f aca="false">P216*Assumptions!$B$7</f>
        <v>4874.2</v>
      </c>
      <c r="AB216" s="0" t="n">
        <f aca="false">P216-AA216</f>
        <v>43867.8</v>
      </c>
      <c r="AC216" s="1" t="n">
        <f aca="false">PMT(Assumptions!$B$5,Assumptions!$B$6,-AB216)</f>
        <v>868.428063211123</v>
      </c>
      <c r="AD216" s="0" t="n">
        <f aca="false">C216*12</f>
        <v>120</v>
      </c>
      <c r="AE216" s="0" t="n">
        <f aca="false">MIN(Assumptions!$B$6,AD216)</f>
        <v>60</v>
      </c>
      <c r="AF216" s="0" t="n">
        <f aca="false">IF(AD216&gt;=Assumptions!$B$6,0,-PV(Assumptions!$B$5,Assumptions!$B$6-AD216,AC216))</f>
        <v>0</v>
      </c>
      <c r="AG216" s="1" t="n">
        <f aca="false">AA216+(-PV(Assumptions!$B$3,AE216,AC216))+Y216-((W216-AF216)/POWER(1+Assumptions!$B$2,C216))</f>
        <v>77974.1805493234</v>
      </c>
      <c r="AH216" s="0" t="n">
        <f aca="false">H216/12</f>
        <v>3</v>
      </c>
      <c r="AI216" s="0" t="n">
        <f aca="false">MAX(0,Assumptions!$B$10-Assumptions!$B$24)*Assumptions!$B$25</f>
        <v>0</v>
      </c>
      <c r="AJ216" s="1" t="n">
        <f aca="false">F216+Assumptions!$B$27+(-PV(Assumptions!$B$3,H216-1,G216))</f>
        <v>27947.1567467007</v>
      </c>
      <c r="AK216" s="0" t="n">
        <f aca="false">CEILING(C216/AH216,1)</f>
        <v>4</v>
      </c>
      <c r="AL216" s="0" t="n">
        <f aca="false">(1+Assumptions!$B$26)/POWER(1+Assumptions!$B$2,AH216)</f>
        <v>0.906135810905202</v>
      </c>
      <c r="AM216" s="0" t="n">
        <f aca="false">IF(ABS(1-AL216)&lt;0.000000000001,AK216,(1-POWER(AL216,AK216))/(1-AL216))</f>
        <v>3.47122982028551</v>
      </c>
      <c r="AN216" s="0" t="n">
        <f aca="false">1/POWER(1+Assumptions!$B$2,AH216)</f>
        <v>0.871284433562695</v>
      </c>
      <c r="AO216" s="0" t="n">
        <f aca="false">IF(ABS(1-AN216)&lt;0.000000000001,AK216,AN216*(1-POWER(AN216,AK216))/(1-AN216))</f>
        <v>2.86813319209759</v>
      </c>
      <c r="AP216" s="1" t="n">
        <f aca="false">AJ216*AM216+Assumptions!$B$28*AO216+(-PV(Assumptions!$B$2,C216,R216+T216+AI216))</f>
        <v>126869.196612389</v>
      </c>
      <c r="AQ216" s="0" t="n">
        <f aca="false">N216*(1+Assumptions!$B$8)</f>
        <v>27554.94</v>
      </c>
      <c r="AR216" s="1" t="n">
        <f aca="false">PMT(Assumptions!$B$5,Assumptions!$B$29,-AQ216)</f>
        <v>850.690571646336</v>
      </c>
      <c r="AS216" s="0" t="n">
        <f aca="false">MAX(0,AD216-H216)</f>
        <v>84</v>
      </c>
      <c r="AT216" s="0" t="n">
        <f aca="false">MIN(Assumptions!$B$29,AS216)</f>
        <v>36</v>
      </c>
      <c r="AU216" s="0" t="n">
        <f aca="false">IF(AS216&gt;=Assumptions!$B$29,0,-PV(Assumptions!$B$5,Assumptions!$B$29-AS216,AR216))</f>
        <v>0</v>
      </c>
      <c r="AV216" s="1" t="n">
        <f aca="false">(-PV(Assumptions!$B$3,AT216,AR216))/POWER(1+Assumptions!$B$2,AH216)</f>
        <v>24841.9283480756</v>
      </c>
      <c r="AW216" s="1" t="n">
        <f aca="false">-PV(Assumptions!$B$2,AH216,T216+AI216)</f>
        <v>5318.41766002654</v>
      </c>
      <c r="AX216" s="1" t="n">
        <f aca="false">(-PV(Assumptions!$B$2,C216,S216))-(-PV(Assumptions!$B$2,AH216,S216))</f>
        <v>8919.48888629116</v>
      </c>
      <c r="AY216" s="1" t="n">
        <f aca="false">AJ216+AW216+AX216+(-PV(Assumptions!$B$2,C216,R216))+X216-(W216/POWER(1+Assumptions!$B$2,C216))</f>
        <v>55217.4790514353</v>
      </c>
      <c r="AZ216" s="1" t="n">
        <f aca="false">AY216+AV216+(AU216/POWER(1+Assumptions!$B$2,C216))</f>
        <v>80059.4073995109</v>
      </c>
      <c r="BA216" s="0" t="n">
        <f aca="false">AQ216/POWER(1+Assumptions!$B$2,AH216)</f>
        <v>24008.190289754</v>
      </c>
      <c r="BB216" s="1" t="n">
        <f aca="false">AY216+BA216</f>
        <v>79225.6693411894</v>
      </c>
      <c r="BC216" s="1" t="n">
        <f aca="false">AJ216+Assumptions!$B$28/POWER(1+Assumptions!$B$2,AH216)+(-PV(Assumptions!$B$2,AH216,R216+T216+AI216))</f>
        <v>38330.6160283278</v>
      </c>
      <c r="BD216" s="1" t="n">
        <f aca="false">MIN(Z216,AG216,AZ216)</f>
        <v>75486.5055226929</v>
      </c>
      <c r="BE216" s="0" t="str">
        <f aca="false">IF(BD216=Z216,"Cash",IF(BD216=AG216,"Loan","Lease then buy out"))</f>
        <v>Cash</v>
      </c>
    </row>
    <row r="217" customFormat="false" ht="15" hidden="false" customHeight="false" outlineLevel="0" collapsed="false">
      <c r="A217" s="0" t="s">
        <v>51</v>
      </c>
      <c r="B217" s="0" t="s">
        <v>133</v>
      </c>
      <c r="C217" s="0" t="n">
        <v>10</v>
      </c>
      <c r="D217" s="0" t="n">
        <v>0</v>
      </c>
      <c r="E217" s="0" t="n">
        <v>29500</v>
      </c>
      <c r="F217" s="0" t="n">
        <v>3959</v>
      </c>
      <c r="G217" s="0" t="n">
        <v>439</v>
      </c>
      <c r="H217" s="0" t="n">
        <v>36</v>
      </c>
      <c r="I217" s="0" t="n">
        <v>23</v>
      </c>
      <c r="J217" s="0" t="n">
        <v>10711</v>
      </c>
      <c r="K217" s="0" t="s">
        <v>107</v>
      </c>
      <c r="L217" s="0" t="n">
        <v>91.4</v>
      </c>
      <c r="M217" s="0" t="n">
        <f aca="false">MAX(Assumptions!$B$33,Assumptions!$B$30-Assumptions!$B$31*(H217-36)-IF(D217=1,Assumptions!$B$32,0))</f>
        <v>0.57</v>
      </c>
      <c r="N217" s="0" t="n">
        <f aca="false">E217*M217</f>
        <v>16815</v>
      </c>
      <c r="O217" s="0" t="n">
        <f aca="false">1-POWER(J217/E217,0.1)</f>
        <v>0.0963488609989158</v>
      </c>
      <c r="P217" s="0" t="n">
        <f aca="false">E217*(1+Assumptions!$B$8)+Assumptions!$B$9</f>
        <v>31375</v>
      </c>
      <c r="Q217" s="0" t="n">
        <f aca="false">IF(D217=1,Assumptions!$B$14*33.7,Assumptions!$B$13)</f>
        <v>3.1</v>
      </c>
      <c r="R217" s="0" t="n">
        <f aca="false">(Assumptions!$B$10/I217)*Q217</f>
        <v>1347.82608695652</v>
      </c>
      <c r="S217" s="0" t="n">
        <f aca="false">Assumptions!$B$15+Assumptions!$B$17</f>
        <v>1750</v>
      </c>
      <c r="T217" s="0" t="n">
        <f aca="false">Assumptions!$B$15*(1+Assumptions!$B$16)+Assumptions!$B$17</f>
        <v>1942</v>
      </c>
      <c r="U217" s="0" t="n">
        <f aca="false">IF(OR(C217&gt;Assumptions!$B$11,Assumptions!$B$10*C217&gt;Assumptions!$B$12),1,0)</f>
        <v>0</v>
      </c>
      <c r="V217" s="0" t="n">
        <f aca="false">MAX(0.6,1-Assumptions!$B$22*MAX(0,(Assumptions!$B$10-10000)*C217)/10000)</f>
        <v>1</v>
      </c>
      <c r="W217" s="0" t="n">
        <f aca="false">IF(U217=1,Assumptions!$B$23,MAX(Assumptions!$B$23,E217*POWER(1-O217,C217)*V217))</f>
        <v>10711</v>
      </c>
      <c r="X217" s="0" t="n">
        <f aca="true">SUMPRODUCT((ROW(INDIRECT("1:"&amp;C217))&gt;Assumptions!$B$20)*Assumptions!$B$18*POWER(Assumptions!$B$19,ROW(INDIRECT("1:"&amp;C217))-Assumptions!$B$20-1)*IF(ROW(INDIRECT("1:"&amp;C217))&gt;Assumptions!$B$11,Assumptions!$B$21,1)/POWER(1+Assumptions!$B$2,ROW(INDIRECT("1:"&amp;C217))))</f>
        <v>7070.12417022456</v>
      </c>
      <c r="Y217" s="1" t="n">
        <f aca="false">-PV(Assumptions!$B$2,C217,R217+S217)+X217</f>
        <v>31343.0781007752</v>
      </c>
      <c r="Z217" s="1" t="n">
        <f aca="false">P217+Y217-(W217/POWER(1+Assumptions!$B$2,C217))</f>
        <v>55951.5918681252</v>
      </c>
      <c r="AA217" s="0" t="n">
        <f aca="false">P217*Assumptions!$B$7</f>
        <v>3137.5</v>
      </c>
      <c r="AB217" s="0" t="n">
        <f aca="false">P217-AA217</f>
        <v>28237.5</v>
      </c>
      <c r="AC217" s="1" t="n">
        <f aca="false">PMT(Assumptions!$B$5,Assumptions!$B$6,-AB217)</f>
        <v>559.003128374892</v>
      </c>
      <c r="AD217" s="0" t="n">
        <f aca="false">C217*12</f>
        <v>120</v>
      </c>
      <c r="AE217" s="0" t="n">
        <f aca="false">MIN(Assumptions!$B$6,AD217)</f>
        <v>60</v>
      </c>
      <c r="AF217" s="0" t="n">
        <f aca="false">IF(AD217&gt;=Assumptions!$B$6,0,-PV(Assumptions!$B$5,Assumptions!$B$6-AD217,AC217))</f>
        <v>0</v>
      </c>
      <c r="AG217" s="1" t="n">
        <f aca="false">AA217+(-PV(Assumptions!$B$3,AE217,AC217))+Y217-((W217-AF217)/POWER(1+Assumptions!$B$2,C217))</f>
        <v>57552.8967788907</v>
      </c>
      <c r="AH217" s="0" t="n">
        <f aca="false">H217/12</f>
        <v>3</v>
      </c>
      <c r="AI217" s="0" t="n">
        <f aca="false">MAX(0,Assumptions!$B$10-Assumptions!$B$24)*Assumptions!$B$25</f>
        <v>0</v>
      </c>
      <c r="AJ217" s="1" t="n">
        <f aca="false">F217+Assumptions!$B$27+(-PV(Assumptions!$B$3,H217-1,G217))</f>
        <v>18991.2046406805</v>
      </c>
      <c r="AK217" s="0" t="n">
        <f aca="false">CEILING(C217/AH217,1)</f>
        <v>4</v>
      </c>
      <c r="AL217" s="0" t="n">
        <f aca="false">(1+Assumptions!$B$26)/POWER(1+Assumptions!$B$2,AH217)</f>
        <v>0.906135810905202</v>
      </c>
      <c r="AM217" s="0" t="n">
        <f aca="false">IF(ABS(1-AL217)&lt;0.000000000001,AK217,(1-POWER(AL217,AK217))/(1-AL217))</f>
        <v>3.47122982028551</v>
      </c>
      <c r="AN217" s="0" t="n">
        <f aca="false">1/POWER(1+Assumptions!$B$2,AH217)</f>
        <v>0.871284433562695</v>
      </c>
      <c r="AO217" s="0" t="n">
        <f aca="false">IF(ABS(1-AN217)&lt;0.000000000001,AK217,AN217*(1-POWER(AN217,AK217))/(1-AN217))</f>
        <v>2.86813319209759</v>
      </c>
      <c r="AP217" s="1" t="n">
        <f aca="false">AJ217*AM217+Assumptions!$B$28*AO217+(-PV(Assumptions!$B$2,C217,R217+T217+AI217))</f>
        <v>92847.4552134019</v>
      </c>
      <c r="AQ217" s="0" t="n">
        <f aca="false">N217*(1+Assumptions!$B$8)</f>
        <v>17655.75</v>
      </c>
      <c r="AR217" s="1" t="n">
        <f aca="false">PMT(Assumptions!$B$5,Assumptions!$B$29,-AQ217)</f>
        <v>545.077581745589</v>
      </c>
      <c r="AS217" s="0" t="n">
        <f aca="false">MAX(0,AD217-H217)</f>
        <v>84</v>
      </c>
      <c r="AT217" s="0" t="n">
        <f aca="false">MIN(Assumptions!$B$29,AS217)</f>
        <v>36</v>
      </c>
      <c r="AU217" s="0" t="n">
        <f aca="false">IF(AS217&gt;=Assumptions!$B$29,0,-PV(Assumptions!$B$5,Assumptions!$B$29-AS217,AR217))</f>
        <v>0</v>
      </c>
      <c r="AV217" s="1" t="n">
        <f aca="false">(-PV(Assumptions!$B$3,AT217,AR217))/POWER(1+Assumptions!$B$2,AH217)</f>
        <v>15917.3954445749</v>
      </c>
      <c r="AW217" s="1" t="n">
        <f aca="false">-PV(Assumptions!$B$2,AH217,T217+AI217)</f>
        <v>5318.41766002654</v>
      </c>
      <c r="AX217" s="1" t="n">
        <f aca="false">(-PV(Assumptions!$B$2,C217,S217))-(-PV(Assumptions!$B$2,AH217,S217))</f>
        <v>8919.48888629116</v>
      </c>
      <c r="AY217" s="1" t="n">
        <f aca="false">AJ217+AW217+AX217+(-PV(Assumptions!$B$2,C217,R217))+X217-(W217/POWER(1+Assumptions!$B$2,C217))</f>
        <v>44093.6132908474</v>
      </c>
      <c r="AZ217" s="1" t="n">
        <f aca="false">AY217+AV217+(AU217/POWER(1+Assumptions!$B$2,C217))</f>
        <v>60011.0087354223</v>
      </c>
      <c r="BA217" s="0" t="n">
        <f aca="false">AQ217/POWER(1+Assumptions!$B$2,AH217)</f>
        <v>15383.1801378745</v>
      </c>
      <c r="BB217" s="1" t="n">
        <f aca="false">AY217+BA217</f>
        <v>59476.7934287219</v>
      </c>
      <c r="BC217" s="1" t="n">
        <f aca="false">AJ217+Assumptions!$B$28/POWER(1+Assumptions!$B$2,AH217)+(-PV(Assumptions!$B$2,AH217,R217+T217+AI217))</f>
        <v>28349.3317813999</v>
      </c>
      <c r="BD217" s="1" t="n">
        <f aca="false">MIN(Z217,AG217,AZ217)</f>
        <v>55951.5918681252</v>
      </c>
      <c r="BE217" s="0" t="str">
        <f aca="false">IF(BD217=Z217,"Cash",IF(BD217=AG217,"Loan","Lease then buy out"))</f>
        <v>Cash</v>
      </c>
    </row>
    <row r="218" customFormat="false" ht="15" hidden="false" customHeight="false" outlineLevel="0" collapsed="false">
      <c r="A218" s="0" t="s">
        <v>63</v>
      </c>
      <c r="B218" s="0" t="s">
        <v>134</v>
      </c>
      <c r="C218" s="0" t="n">
        <v>10</v>
      </c>
      <c r="D218" s="0" t="n">
        <v>0</v>
      </c>
      <c r="E218" s="0" t="n">
        <v>27468</v>
      </c>
      <c r="F218" s="0" t="n">
        <v>3000</v>
      </c>
      <c r="G218" s="0" t="n">
        <v>438</v>
      </c>
      <c r="H218" s="0" t="n">
        <v>36</v>
      </c>
      <c r="I218" s="0" t="n">
        <v>37</v>
      </c>
      <c r="J218" s="0" t="n">
        <v>9648</v>
      </c>
      <c r="K218" s="0" t="s">
        <v>99</v>
      </c>
      <c r="L218" s="0" t="n">
        <v>87.3</v>
      </c>
      <c r="M218" s="0" t="n">
        <f aca="false">MAX(Assumptions!$B$33,Assumptions!$B$30-Assumptions!$B$31*(H218-36)-IF(D218=1,Assumptions!$B$32,0))</f>
        <v>0.57</v>
      </c>
      <c r="N218" s="0" t="n">
        <f aca="false">E218*M218</f>
        <v>15656.76</v>
      </c>
      <c r="O218" s="0" t="n">
        <f aca="false">1-POWER(J218/E218,0.1)</f>
        <v>0.0993396883674095</v>
      </c>
      <c r="P218" s="0" t="n">
        <f aca="false">E218*(1+Assumptions!$B$8)+Assumptions!$B$9</f>
        <v>29241.4</v>
      </c>
      <c r="Q218" s="0" t="n">
        <f aca="false">IF(D218=1,Assumptions!$B$14*33.7,Assumptions!$B$13)</f>
        <v>3.1</v>
      </c>
      <c r="R218" s="0" t="n">
        <f aca="false">(Assumptions!$B$10/I218)*Q218</f>
        <v>837.837837837838</v>
      </c>
      <c r="S218" s="0" t="n">
        <f aca="false">Assumptions!$B$15+Assumptions!$B$17</f>
        <v>1750</v>
      </c>
      <c r="T218" s="0" t="n">
        <f aca="false">Assumptions!$B$15*(1+Assumptions!$B$16)+Assumptions!$B$17</f>
        <v>1942</v>
      </c>
      <c r="U218" s="0" t="n">
        <f aca="false">IF(OR(C218&gt;Assumptions!$B$11,Assumptions!$B$10*C218&gt;Assumptions!$B$12),1,0)</f>
        <v>0</v>
      </c>
      <c r="V218" s="0" t="n">
        <f aca="false">MAX(0.6,1-Assumptions!$B$22*MAX(0,(Assumptions!$B$10-10000)*C218)/10000)</f>
        <v>1</v>
      </c>
      <c r="W218" s="0" t="n">
        <f aca="false">IF(U218=1,Assumptions!$B$23,MAX(Assumptions!$B$23,E218*POWER(1-O218,C218)*V218))</f>
        <v>9648</v>
      </c>
      <c r="X218" s="0" t="n">
        <f aca="true">SUMPRODUCT((ROW(INDIRECT("1:"&amp;C218))&gt;Assumptions!$B$20)*Assumptions!$B$18*POWER(Assumptions!$B$19,ROW(INDIRECT("1:"&amp;C218))-Assumptions!$B$20-1)*IF(ROW(INDIRECT("1:"&amp;C218))&gt;Assumptions!$B$11,Assumptions!$B$21,1)/POWER(1+Assumptions!$B$2,ROW(INDIRECT("1:"&amp;C218))))</f>
        <v>7070.12417022456</v>
      </c>
      <c r="Y218" s="1" t="n">
        <f aca="false">-PV(Assumptions!$B$2,C218,R218+S218)+X218</f>
        <v>27347.0754432658</v>
      </c>
      <c r="Z218" s="1" t="n">
        <f aca="false">P218+Y218-(W218/POWER(1+Assumptions!$B$2,C218))</f>
        <v>50493.5208010656</v>
      </c>
      <c r="AA218" s="0" t="n">
        <f aca="false">P218*Assumptions!$B$7</f>
        <v>2924.14</v>
      </c>
      <c r="AB218" s="0" t="n">
        <f aca="false">P218-AA218</f>
        <v>26317.26</v>
      </c>
      <c r="AC218" s="1" t="n">
        <f aca="false">PMT(Assumptions!$B$5,Assumptions!$B$6,-AB218)</f>
        <v>520.989133962122</v>
      </c>
      <c r="AD218" s="0" t="n">
        <f aca="false">C218*12</f>
        <v>120</v>
      </c>
      <c r="AE218" s="0" t="n">
        <f aca="false">MIN(Assumptions!$B$6,AD218)</f>
        <v>60</v>
      </c>
      <c r="AF218" s="0" t="n">
        <f aca="false">IF(AD218&gt;=Assumptions!$B$6,0,-PV(Assumptions!$B$5,Assumptions!$B$6-AD218,AC218))</f>
        <v>0</v>
      </c>
      <c r="AG218" s="1" t="n">
        <f aca="false">AA218+(-PV(Assumptions!$B$3,AE218,AC218))+Y218-((W218-AF218)/POWER(1+Assumptions!$B$2,C218))</f>
        <v>51985.9318741383</v>
      </c>
      <c r="AH218" s="0" t="n">
        <f aca="false">H218/12</f>
        <v>3</v>
      </c>
      <c r="AI218" s="0" t="n">
        <f aca="false">MAX(0,Assumptions!$B$10-Assumptions!$B$24)*Assumptions!$B$25</f>
        <v>0</v>
      </c>
      <c r="AJ218" s="1" t="n">
        <f aca="false">F218+Assumptions!$B$27+(-PV(Assumptions!$B$3,H218-1,G218))</f>
        <v>17999.5572496994</v>
      </c>
      <c r="AK218" s="0" t="n">
        <f aca="false">CEILING(C218/AH218,1)</f>
        <v>4</v>
      </c>
      <c r="AL218" s="0" t="n">
        <f aca="false">(1+Assumptions!$B$26)/POWER(1+Assumptions!$B$2,AH218)</f>
        <v>0.906135810905202</v>
      </c>
      <c r="AM218" s="0" t="n">
        <f aca="false">IF(ABS(1-AL218)&lt;0.000000000001,AK218,(1-POWER(AL218,AK218))/(1-AL218))</f>
        <v>3.47122982028551</v>
      </c>
      <c r="AN218" s="0" t="n">
        <f aca="false">1/POWER(1+Assumptions!$B$2,AH218)</f>
        <v>0.871284433562695</v>
      </c>
      <c r="AO218" s="0" t="n">
        <f aca="false">IF(ABS(1-AN218)&lt;0.000000000001,AK218,AN218*(1-POWER(AN218,AK218))/(1-AN218))</f>
        <v>2.86813319209759</v>
      </c>
      <c r="AP218" s="1" t="n">
        <f aca="false">AJ218*AM218+Assumptions!$B$28*AO218+(-PV(Assumptions!$B$2,C218,R218+T218+AI218))</f>
        <v>85409.2165611109</v>
      </c>
      <c r="AQ218" s="0" t="n">
        <f aca="false">N218*(1+Assumptions!$B$8)</f>
        <v>16439.598</v>
      </c>
      <c r="AR218" s="1" t="n">
        <f aca="false">PMT(Assumptions!$B$5,Assumptions!$B$29,-AQ218)</f>
        <v>507.531898826706</v>
      </c>
      <c r="AS218" s="0" t="n">
        <f aca="false">MAX(0,AD218-H218)</f>
        <v>84</v>
      </c>
      <c r="AT218" s="0" t="n">
        <f aca="false">MIN(Assumptions!$B$29,AS218)</f>
        <v>36</v>
      </c>
      <c r="AU218" s="0" t="n">
        <f aca="false">IF(AS218&gt;=Assumptions!$B$29,0,-PV(Assumptions!$B$5,Assumptions!$B$29-AS218,AR218))</f>
        <v>0</v>
      </c>
      <c r="AV218" s="1" t="n">
        <f aca="false">(-PV(Assumptions!$B$3,AT218,AR218))/POWER(1+Assumptions!$B$2,AH218)</f>
        <v>14820.9836634435</v>
      </c>
      <c r="AW218" s="1" t="n">
        <f aca="false">-PV(Assumptions!$B$2,AH218,T218+AI218)</f>
        <v>5318.41766002654</v>
      </c>
      <c r="AX218" s="1" t="n">
        <f aca="false">(-PV(Assumptions!$B$2,C218,S218))-(-PV(Assumptions!$B$2,AH218,S218))</f>
        <v>8919.48888629116</v>
      </c>
      <c r="AY218" s="1" t="n">
        <f aca="false">AJ218+AW218+AX218+(-PV(Assumptions!$B$2,C218,R218))+X218-(W218/POWER(1+Assumptions!$B$2,C218))</f>
        <v>39777.4948328067</v>
      </c>
      <c r="AZ218" s="1" t="n">
        <f aca="false">AY218+AV218+(AU218/POWER(1+Assumptions!$B$2,C218))</f>
        <v>54598.4784962502</v>
      </c>
      <c r="BA218" s="0" t="n">
        <f aca="false">AQ218/POWER(1+Assumptions!$B$2,AH218)</f>
        <v>14323.5658314284</v>
      </c>
      <c r="BB218" s="1" t="n">
        <f aca="false">AY218+BA218</f>
        <v>54101.0606642351</v>
      </c>
      <c r="BC218" s="1" t="n">
        <f aca="false">AJ218+Assumptions!$B$28/POWER(1+Assumptions!$B$2,AH218)+(-PV(Assumptions!$B$2,AH218,R218+T218+AI218))</f>
        <v>25961.0157444256</v>
      </c>
      <c r="BD218" s="1" t="n">
        <f aca="false">MIN(Z218,AG218,AZ218)</f>
        <v>50493.5208010656</v>
      </c>
      <c r="BE218" s="0" t="str">
        <f aca="false">IF(BD218=Z218,"Cash",IF(BD218=AG218,"Loan","Lease then buy out"))</f>
        <v>Cash</v>
      </c>
    </row>
    <row r="219" customFormat="false" ht="15" hidden="false" customHeight="false" outlineLevel="0" collapsed="false">
      <c r="A219" s="0" t="s">
        <v>51</v>
      </c>
      <c r="B219" s="0" t="s">
        <v>135</v>
      </c>
      <c r="C219" s="0" t="n">
        <v>10</v>
      </c>
      <c r="D219" s="0" t="n">
        <v>1</v>
      </c>
      <c r="E219" s="0" t="n">
        <v>31880</v>
      </c>
      <c r="F219" s="0" t="n">
        <v>3064</v>
      </c>
      <c r="G219" s="0" t="n">
        <v>564</v>
      </c>
      <c r="H219" s="0" t="n">
        <v>36</v>
      </c>
      <c r="I219" s="0" t="n">
        <v>115</v>
      </c>
      <c r="J219" s="0" t="n">
        <v>7551</v>
      </c>
      <c r="K219" s="0" t="s">
        <v>99</v>
      </c>
      <c r="L219" s="0" t="n">
        <v>148.9</v>
      </c>
      <c r="M219" s="0" t="n">
        <f aca="false">MAX(Assumptions!$B$33,Assumptions!$B$30-Assumptions!$B$31*(H219-36)-IF(D219=1,Assumptions!$B$32,0))</f>
        <v>0.49</v>
      </c>
      <c r="N219" s="0" t="n">
        <f aca="false">E219*M219</f>
        <v>15621.2</v>
      </c>
      <c r="O219" s="0" t="n">
        <f aca="false">1-POWER(J219/E219,0.1)</f>
        <v>0.134138128531617</v>
      </c>
      <c r="P219" s="0" t="n">
        <f aca="false">E219*(1+Assumptions!$B$8)+Assumptions!$B$9</f>
        <v>33874</v>
      </c>
      <c r="Q219" s="0" t="n">
        <f aca="false">IF(D219=1,Assumptions!$B$14*33.7,Assumptions!$B$13)</f>
        <v>5.729</v>
      </c>
      <c r="R219" s="0" t="n">
        <f aca="false">(Assumptions!$B$10/I219)*Q219</f>
        <v>498.173913043478</v>
      </c>
      <c r="S219" s="0" t="n">
        <f aca="false">Assumptions!$B$15+Assumptions!$B$17</f>
        <v>1750</v>
      </c>
      <c r="T219" s="0" t="n">
        <f aca="false">Assumptions!$B$15*(1+Assumptions!$B$16)+Assumptions!$B$17</f>
        <v>1942</v>
      </c>
      <c r="U219" s="0" t="n">
        <f aca="false">IF(OR(C219&gt;Assumptions!$B$11,Assumptions!$B$10*C219&gt;Assumptions!$B$12),1,0)</f>
        <v>0</v>
      </c>
      <c r="V219" s="0" t="n">
        <f aca="false">MAX(0.6,1-Assumptions!$B$22*MAX(0,(Assumptions!$B$10-10000)*C219)/10000)</f>
        <v>1</v>
      </c>
      <c r="W219" s="0" t="n">
        <f aca="false">IF(U219=1,Assumptions!$B$23,MAX(Assumptions!$B$23,E219*POWER(1-O219,C219)*V219))</f>
        <v>7551</v>
      </c>
      <c r="X219" s="0" t="n">
        <f aca="true">SUMPRODUCT((ROW(INDIRECT("1:"&amp;C219))&gt;Assumptions!$B$20)*Assumptions!$B$18*POWER(Assumptions!$B$19,ROW(INDIRECT("1:"&amp;C219))-Assumptions!$B$20-1)*IF(ROW(INDIRECT("1:"&amp;C219))&gt;Assumptions!$B$11,Assumptions!$B$21,1)/POWER(1+Assumptions!$B$2,ROW(INDIRECT("1:"&amp;C219))))</f>
        <v>7070.12417022456</v>
      </c>
      <c r="Y219" s="1" t="n">
        <f aca="false">-PV(Assumptions!$B$2,C219,R219+S219)+X219</f>
        <v>24685.6455995707</v>
      </c>
      <c r="Z219" s="1" t="n">
        <f aca="false">P219+Y219-(W219/POWER(1+Assumptions!$B$2,C219))</f>
        <v>53789.4338973262</v>
      </c>
      <c r="AA219" s="0" t="n">
        <f aca="false">P219*Assumptions!$B$7</f>
        <v>3387.4</v>
      </c>
      <c r="AB219" s="0" t="n">
        <f aca="false">P219-AA219</f>
        <v>30486.6</v>
      </c>
      <c r="AC219" s="1" t="n">
        <f aca="false">PMT(Assumptions!$B$5,Assumptions!$B$6,-AB219)</f>
        <v>603.527393484338</v>
      </c>
      <c r="AD219" s="0" t="n">
        <f aca="false">C219*12</f>
        <v>120</v>
      </c>
      <c r="AE219" s="0" t="n">
        <f aca="false">MIN(Assumptions!$B$6,AD219)</f>
        <v>60</v>
      </c>
      <c r="AF219" s="0" t="n">
        <f aca="false">IF(AD219&gt;=Assumptions!$B$6,0,-PV(Assumptions!$B$5,Assumptions!$B$6-AD219,AC219))</f>
        <v>0</v>
      </c>
      <c r="AG219" s="1" t="n">
        <f aca="false">AA219+(-PV(Assumptions!$B$3,AE219,AC219))+Y219-((W219-AF219)/POWER(1+Assumptions!$B$2,C219))</f>
        <v>55518.2817872791</v>
      </c>
      <c r="AH219" s="0" t="n">
        <f aca="false">H219/12</f>
        <v>3</v>
      </c>
      <c r="AI219" s="0" t="n">
        <f aca="false">MAX(0,Assumptions!$B$10-Assumptions!$B$24)*Assumptions!$B$25</f>
        <v>0</v>
      </c>
      <c r="AJ219" s="1" t="n">
        <f aca="false">F219+Assumptions!$B$27+(-PV(Assumptions!$B$3,H219-1,G219))</f>
        <v>22177.1285133116</v>
      </c>
      <c r="AK219" s="0" t="n">
        <f aca="false">CEILING(C219/AH219,1)</f>
        <v>4</v>
      </c>
      <c r="AL219" s="0" t="n">
        <f aca="false">(1+Assumptions!$B$26)/POWER(1+Assumptions!$B$2,AH219)</f>
        <v>0.906135810905202</v>
      </c>
      <c r="AM219" s="0" t="n">
        <f aca="false">IF(ABS(1-AL219)&lt;0.000000000001,AK219,(1-POWER(AL219,AK219))/(1-AL219))</f>
        <v>3.47122982028551</v>
      </c>
      <c r="AN219" s="0" t="n">
        <f aca="false">1/POWER(1+Assumptions!$B$2,AH219)</f>
        <v>0.871284433562695</v>
      </c>
      <c r="AO219" s="0" t="n">
        <f aca="false">IF(ABS(1-AN219)&lt;0.000000000001,AK219,AN219*(1-POWER(AN219,AK219))/(1-AN219))</f>
        <v>2.86813319209759</v>
      </c>
      <c r="AP219" s="1" t="n">
        <f aca="false">AJ219*AM219+Assumptions!$B$28*AO219+(-PV(Assumptions!$B$2,C219,R219+T219+AI219))</f>
        <v>97249.096664034</v>
      </c>
      <c r="AQ219" s="0" t="n">
        <f aca="false">N219*(1+Assumptions!$B$8)</f>
        <v>16402.26</v>
      </c>
      <c r="AR219" s="1" t="n">
        <f aca="false">PMT(Assumptions!$B$5,Assumptions!$B$29,-AQ219)</f>
        <v>506.379180491477</v>
      </c>
      <c r="AS219" s="0" t="n">
        <f aca="false">MAX(0,AD219-H219)</f>
        <v>84</v>
      </c>
      <c r="AT219" s="0" t="n">
        <f aca="false">MIN(Assumptions!$B$29,AS219)</f>
        <v>36</v>
      </c>
      <c r="AU219" s="0" t="n">
        <f aca="false">IF(AS219&gt;=Assumptions!$B$29,0,-PV(Assumptions!$B$5,Assumptions!$B$29-AS219,AR219))</f>
        <v>0</v>
      </c>
      <c r="AV219" s="1" t="n">
        <f aca="false">(-PV(Assumptions!$B$3,AT219,AR219))/POWER(1+Assumptions!$B$2,AH219)</f>
        <v>14787.3218982334</v>
      </c>
      <c r="AW219" s="1" t="n">
        <f aca="false">-PV(Assumptions!$B$2,AH219,T219+AI219)</f>
        <v>5318.41766002654</v>
      </c>
      <c r="AX219" s="1" t="n">
        <f aca="false">(-PV(Assumptions!$B$2,C219,S219))-(-PV(Assumptions!$B$2,AH219,S219))</f>
        <v>8919.48888629116</v>
      </c>
      <c r="AY219" s="1" t="n">
        <f aca="false">AJ219+AW219+AX219+(-PV(Assumptions!$B$2,C219,R219))+X219-(W219/POWER(1+Assumptions!$B$2,C219))</f>
        <v>42618.3791926796</v>
      </c>
      <c r="AZ219" s="1" t="n">
        <f aca="false">AY219+AV219+(AU219/POWER(1+Assumptions!$B$2,C219))</f>
        <v>57405.7010909129</v>
      </c>
      <c r="BA219" s="0" t="n">
        <f aca="false">AQ219/POWER(1+Assumptions!$B$2,AH219)</f>
        <v>14291.033813248</v>
      </c>
      <c r="BB219" s="1" t="n">
        <f aca="false">AY219+BA219</f>
        <v>56909.4130059276</v>
      </c>
      <c r="BC219" s="1" t="n">
        <f aca="false">AJ219+Assumptions!$B$28/POWER(1+Assumptions!$B$2,AH219)+(-PV(Assumptions!$B$2,AH219,R219+T219+AI219))</f>
        <v>29208.3735085011</v>
      </c>
      <c r="BD219" s="1" t="n">
        <f aca="false">MIN(Z219,AG219,AZ219)</f>
        <v>53789.4338973262</v>
      </c>
      <c r="BE219" s="0" t="str">
        <f aca="false">IF(BD219=Z219,"Cash",IF(BD219=AG219,"Loan","Lease then buy out"))</f>
        <v>Cash</v>
      </c>
    </row>
    <row r="220" customFormat="false" ht="15" hidden="false" customHeight="false" outlineLevel="0" collapsed="false">
      <c r="A220" s="0" t="s">
        <v>41</v>
      </c>
      <c r="B220" s="0" t="s">
        <v>136</v>
      </c>
      <c r="C220" s="0" t="n">
        <v>10</v>
      </c>
      <c r="D220" s="0" t="n">
        <v>0</v>
      </c>
      <c r="E220" s="0" t="n">
        <v>26900</v>
      </c>
      <c r="F220" s="0" t="n">
        <v>3959</v>
      </c>
      <c r="G220" s="0" t="n">
        <v>439</v>
      </c>
      <c r="H220" s="0" t="n">
        <v>36</v>
      </c>
      <c r="I220" s="0" t="n">
        <v>23</v>
      </c>
      <c r="J220" s="0" t="n">
        <v>10095</v>
      </c>
      <c r="K220" s="0" t="s">
        <v>99</v>
      </c>
      <c r="L220" s="0" t="n">
        <v>87.2</v>
      </c>
      <c r="M220" s="0" t="n">
        <f aca="false">MAX(Assumptions!$B$33,Assumptions!$B$30-Assumptions!$B$31*(H220-36)-IF(D220=1,Assumptions!$B$32,0))</f>
        <v>0.57</v>
      </c>
      <c r="N220" s="0" t="n">
        <f aca="false">E220*M220</f>
        <v>15333</v>
      </c>
      <c r="O220" s="0" t="n">
        <f aca="false">1-POWER(J220/E220,0.1)</f>
        <v>0.0933588965521325</v>
      </c>
      <c r="P220" s="0" t="n">
        <f aca="false">E220*(1+Assumptions!$B$8)+Assumptions!$B$9</f>
        <v>28645</v>
      </c>
      <c r="Q220" s="0" t="n">
        <f aca="false">IF(D220=1,Assumptions!$B$14*33.7,Assumptions!$B$13)</f>
        <v>3.1</v>
      </c>
      <c r="R220" s="0" t="n">
        <f aca="false">(Assumptions!$B$10/I220)*Q220</f>
        <v>1347.82608695652</v>
      </c>
      <c r="S220" s="0" t="n">
        <f aca="false">Assumptions!$B$15+Assumptions!$B$17</f>
        <v>1750</v>
      </c>
      <c r="T220" s="0" t="n">
        <f aca="false">Assumptions!$B$15*(1+Assumptions!$B$16)+Assumptions!$B$17</f>
        <v>1942</v>
      </c>
      <c r="U220" s="0" t="n">
        <f aca="false">IF(OR(C220&gt;Assumptions!$B$11,Assumptions!$B$10*C220&gt;Assumptions!$B$12),1,0)</f>
        <v>0</v>
      </c>
      <c r="V220" s="0" t="n">
        <f aca="false">MAX(0.6,1-Assumptions!$B$22*MAX(0,(Assumptions!$B$10-10000)*C220)/10000)</f>
        <v>1</v>
      </c>
      <c r="W220" s="0" t="n">
        <f aca="false">IF(U220=1,Assumptions!$B$23,MAX(Assumptions!$B$23,E220*POWER(1-O220,C220)*V220))</f>
        <v>10095</v>
      </c>
      <c r="X220" s="0" t="n">
        <f aca="true">SUMPRODUCT((ROW(INDIRECT("1:"&amp;C220))&gt;Assumptions!$B$20)*Assumptions!$B$18*POWER(Assumptions!$B$19,ROW(INDIRECT("1:"&amp;C220))-Assumptions!$B$20-1)*IF(ROW(INDIRECT("1:"&amp;C220))&gt;Assumptions!$B$11,Assumptions!$B$21,1)/POWER(1+Assumptions!$B$2,ROW(INDIRECT("1:"&amp;C220))))</f>
        <v>7070.12417022456</v>
      </c>
      <c r="Y220" s="1" t="n">
        <f aca="false">-PV(Assumptions!$B$2,C220,R220+S220)+X220</f>
        <v>31343.0781007752</v>
      </c>
      <c r="Z220" s="1" t="n">
        <f aca="false">P220+Y220-(W220/POWER(1+Assumptions!$B$2,C220))</f>
        <v>53610.739055065</v>
      </c>
      <c r="AA220" s="0" t="n">
        <f aca="false">P220*Assumptions!$B$7</f>
        <v>2864.5</v>
      </c>
      <c r="AB220" s="0" t="n">
        <f aca="false">P220-AA220</f>
        <v>25780.5</v>
      </c>
      <c r="AC220" s="1" t="n">
        <f aca="false">PMT(Assumptions!$B$5,Assumptions!$B$6,-AB220)</f>
        <v>510.363174893985</v>
      </c>
      <c r="AD220" s="0" t="n">
        <f aca="false">C220*12</f>
        <v>120</v>
      </c>
      <c r="AE220" s="0" t="n">
        <f aca="false">MIN(Assumptions!$B$6,AD220)</f>
        <v>60</v>
      </c>
      <c r="AF220" s="0" t="n">
        <f aca="false">IF(AD220&gt;=Assumptions!$B$6,0,-PV(Assumptions!$B$5,Assumptions!$B$6-AD220,AC220))</f>
        <v>0</v>
      </c>
      <c r="AG220" s="1" t="n">
        <f aca="false">AA220+(-PV(Assumptions!$B$3,AE220,AC220))+Y220-((W220-AF220)/POWER(1+Assumptions!$B$2,C220))</f>
        <v>55072.7112994914</v>
      </c>
      <c r="AH220" s="0" t="n">
        <f aca="false">H220/12</f>
        <v>3</v>
      </c>
      <c r="AI220" s="0" t="n">
        <f aca="false">MAX(0,Assumptions!$B$10-Assumptions!$B$24)*Assumptions!$B$25</f>
        <v>0</v>
      </c>
      <c r="AJ220" s="1" t="n">
        <f aca="false">F220+Assumptions!$B$27+(-PV(Assumptions!$B$3,H220-1,G220))</f>
        <v>18991.2046406805</v>
      </c>
      <c r="AK220" s="0" t="n">
        <f aca="false">CEILING(C220/AH220,1)</f>
        <v>4</v>
      </c>
      <c r="AL220" s="0" t="n">
        <f aca="false">(1+Assumptions!$B$26)/POWER(1+Assumptions!$B$2,AH220)</f>
        <v>0.906135810905202</v>
      </c>
      <c r="AM220" s="0" t="n">
        <f aca="false">IF(ABS(1-AL220)&lt;0.000000000001,AK220,(1-POWER(AL220,AK220))/(1-AL220))</f>
        <v>3.47122982028551</v>
      </c>
      <c r="AN220" s="0" t="n">
        <f aca="false">1/POWER(1+Assumptions!$B$2,AH220)</f>
        <v>0.871284433562695</v>
      </c>
      <c r="AO220" s="0" t="n">
        <f aca="false">IF(ABS(1-AN220)&lt;0.000000000001,AK220,AN220*(1-POWER(AN220,AK220))/(1-AN220))</f>
        <v>2.86813319209759</v>
      </c>
      <c r="AP220" s="1" t="n">
        <f aca="false">AJ220*AM220+Assumptions!$B$28*AO220+(-PV(Assumptions!$B$2,C220,R220+T220+AI220))</f>
        <v>92847.4552134019</v>
      </c>
      <c r="AQ220" s="0" t="n">
        <f aca="false">N220*(1+Assumptions!$B$8)</f>
        <v>16099.65</v>
      </c>
      <c r="AR220" s="1" t="n">
        <f aca="false">PMT(Assumptions!$B$5,Assumptions!$B$29,-AQ220)</f>
        <v>497.036845727333</v>
      </c>
      <c r="AS220" s="0" t="n">
        <f aca="false">MAX(0,AD220-H220)</f>
        <v>84</v>
      </c>
      <c r="AT220" s="0" t="n">
        <f aca="false">MIN(Assumptions!$B$29,AS220)</f>
        <v>36</v>
      </c>
      <c r="AU220" s="0" t="n">
        <f aca="false">IF(AS220&gt;=Assumptions!$B$29,0,-PV(Assumptions!$B$5,Assumptions!$B$29-AS220,AR220))</f>
        <v>0</v>
      </c>
      <c r="AV220" s="1" t="n">
        <f aca="false">(-PV(Assumptions!$B$3,AT220,AR220))/POWER(1+Assumptions!$B$2,AH220)</f>
        <v>14514.5063545446</v>
      </c>
      <c r="AW220" s="1" t="n">
        <f aca="false">-PV(Assumptions!$B$2,AH220,T220+AI220)</f>
        <v>5318.41766002654</v>
      </c>
      <c r="AX220" s="1" t="n">
        <f aca="false">(-PV(Assumptions!$B$2,C220,S220))-(-PV(Assumptions!$B$2,AH220,S220))</f>
        <v>8919.48888629116</v>
      </c>
      <c r="AY220" s="1" t="n">
        <f aca="false">AJ220+AW220+AX220+(-PV(Assumptions!$B$2,C220,R220))+X220-(W220/POWER(1+Assumptions!$B$2,C220))</f>
        <v>44482.7604777872</v>
      </c>
      <c r="AZ220" s="1" t="n">
        <f aca="false">AY220+AV220+(AU220/POWER(1+Assumptions!$B$2,C220))</f>
        <v>58997.2668323318</v>
      </c>
      <c r="BA220" s="0" t="n">
        <f aca="false">AQ220/POWER(1+Assumptions!$B$2,AH220)</f>
        <v>14027.3744308076</v>
      </c>
      <c r="BB220" s="1" t="n">
        <f aca="false">AY220+BA220</f>
        <v>58510.1349085948</v>
      </c>
      <c r="BC220" s="1" t="n">
        <f aca="false">AJ220+Assumptions!$B$28/POWER(1+Assumptions!$B$2,AH220)+(-PV(Assumptions!$B$2,AH220,R220+T220+AI220))</f>
        <v>28349.3317813999</v>
      </c>
      <c r="BD220" s="1" t="n">
        <f aca="false">MIN(Z220,AG220,AZ220)</f>
        <v>53610.739055065</v>
      </c>
      <c r="BE220" s="0" t="str">
        <f aca="false">IF(BD220=Z220,"Cash",IF(BD220=AG220,"Loan","Lease then buy out"))</f>
        <v>Cash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7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sheetData>
    <row r="1" customFormat="false" ht="15" hidden="false" customHeight="false" outlineLevel="0" collapsed="false">
      <c r="A1" s="0" t="s">
        <v>18</v>
      </c>
      <c r="B1" s="0" t="s">
        <v>19</v>
      </c>
      <c r="C1" s="0" t="s">
        <v>23</v>
      </c>
      <c r="D1" s="0" t="s">
        <v>24</v>
      </c>
      <c r="E1" s="0" t="s">
        <v>29</v>
      </c>
      <c r="F1" s="0" t="s">
        <v>25</v>
      </c>
      <c r="G1" s="0" t="s">
        <v>221</v>
      </c>
      <c r="H1" s="0" t="s">
        <v>222</v>
      </c>
    </row>
    <row r="2" customFormat="false" ht="15" hidden="false" customHeight="false" outlineLevel="0" collapsed="false">
      <c r="A2" s="0" t="s">
        <v>31</v>
      </c>
      <c r="B2" s="0" t="s">
        <v>32</v>
      </c>
      <c r="C2" s="0" t="s">
        <v>35</v>
      </c>
      <c r="D2" s="0" t="n">
        <v>163.5</v>
      </c>
      <c r="E2" s="0" t="n">
        <v>104</v>
      </c>
      <c r="F2" s="0" t="n">
        <v>43277</v>
      </c>
      <c r="G2" s="1" t="n">
        <f aca="false">Model!BD148/(Model!C148*12)</f>
        <v>454.206230006237</v>
      </c>
      <c r="H2" s="0" t="n">
        <f aca="false">IF(OR(C2="awd",C2="4wd"),Assumptions!$B$34*(D2/MAX($D$2:$D$74))+Assumptions!$B$35*(E2/MAX($E$2:$E$74))+Assumptions!$B$36*(1-F2/MAX($F$2:$F$74))+Assumptions!$B$37*(1-G2/MAX($G$2:$G$74)),0)</f>
        <v>0.667756891338722</v>
      </c>
    </row>
    <row r="3" customFormat="false" ht="15" hidden="false" customHeight="false" outlineLevel="0" collapsed="false">
      <c r="A3" s="0" t="s">
        <v>31</v>
      </c>
      <c r="B3" s="0" t="s">
        <v>36</v>
      </c>
      <c r="C3" s="0" t="s">
        <v>35</v>
      </c>
      <c r="D3" s="0" t="n">
        <v>163.5</v>
      </c>
      <c r="E3" s="0" t="n">
        <v>104</v>
      </c>
      <c r="F3" s="0" t="n">
        <v>47187</v>
      </c>
      <c r="G3" s="1" t="n">
        <f aca="false">Model!BD149/(Model!C149*12)</f>
        <v>437.73656041714</v>
      </c>
      <c r="H3" s="0" t="n">
        <f aca="false">IF(OR(C3="awd",C3="4wd"),Assumptions!$B$34*(D3/MAX($D$2:$D$74))+Assumptions!$B$35*(E3/MAX($E$2:$E$74))+Assumptions!$B$36*(1-F3/MAX($F$2:$F$74))+Assumptions!$B$37*(1-G3/MAX($G$2:$G$74)),0)</f>
        <v>0.654847194097867</v>
      </c>
    </row>
    <row r="4" customFormat="false" ht="15" hidden="false" customHeight="false" outlineLevel="0" collapsed="false">
      <c r="A4" s="0" t="s">
        <v>37</v>
      </c>
      <c r="B4" s="0" t="s">
        <v>38</v>
      </c>
      <c r="C4" s="0" t="s">
        <v>35</v>
      </c>
      <c r="D4" s="0" t="n">
        <v>127</v>
      </c>
      <c r="E4" s="0" t="n">
        <v>128</v>
      </c>
      <c r="F4" s="0" t="n">
        <v>49130</v>
      </c>
      <c r="G4" s="1" t="n">
        <f aca="false">Model!BD150/(Model!C150*12)</f>
        <v>508.412477575777</v>
      </c>
      <c r="H4" s="0" t="n">
        <f aca="false">IF(OR(C4="awd",C4="4wd"),Assumptions!$B$34*(D4/MAX($D$2:$D$74))+Assumptions!$B$35*(E4/MAX($E$2:$E$74))+Assumptions!$B$36*(1-F4/MAX($F$2:$F$74))+Assumptions!$B$37*(1-G4/MAX($G$2:$G$74)),0)</f>
        <v>0.675681007810288</v>
      </c>
    </row>
    <row r="5" customFormat="false" ht="15" hidden="false" customHeight="false" outlineLevel="0" collapsed="false">
      <c r="A5" s="0" t="s">
        <v>37</v>
      </c>
      <c r="B5" s="0" t="s">
        <v>39</v>
      </c>
      <c r="C5" s="0" t="s">
        <v>35</v>
      </c>
      <c r="D5" s="0" t="n">
        <v>173.2</v>
      </c>
      <c r="E5" s="0" t="n">
        <v>110</v>
      </c>
      <c r="F5" s="0" t="n">
        <v>50990</v>
      </c>
      <c r="G5" s="1" t="n">
        <f aca="false">Model!BD151/(Model!C151*12)</f>
        <v>491.810517084225</v>
      </c>
      <c r="H5" s="0" t="n">
        <f aca="false">IF(OR(C5="awd",C5="4wd"),Assumptions!$B$34*(D5/MAX($D$2:$D$74))+Assumptions!$B$35*(E5/MAX($E$2:$E$74))+Assumptions!$B$36*(1-F5/MAX($F$2:$F$74))+Assumptions!$B$37*(1-G5/MAX($G$2:$G$74)),0)</f>
        <v>0.661932326535346</v>
      </c>
    </row>
    <row r="6" customFormat="false" ht="15" hidden="false" customHeight="false" outlineLevel="0" collapsed="false">
      <c r="A6" s="0" t="s">
        <v>41</v>
      </c>
      <c r="B6" s="0" t="s">
        <v>42</v>
      </c>
      <c r="C6" s="0" t="s">
        <v>35</v>
      </c>
      <c r="D6" s="0" t="n">
        <v>132.8</v>
      </c>
      <c r="E6" s="0" t="n">
        <v>94</v>
      </c>
      <c r="F6" s="0" t="n">
        <v>41400</v>
      </c>
      <c r="G6" s="1" t="n">
        <f aca="false">Model!BD152/(Model!C152*12)</f>
        <v>497.608040273831</v>
      </c>
      <c r="H6" s="0" t="n">
        <f aca="false">IF(OR(C6="awd",C6="4wd"),Assumptions!$B$34*(D6/MAX($D$2:$D$74))+Assumptions!$B$35*(E6/MAX($E$2:$E$74))+Assumptions!$B$36*(1-F6/MAX($F$2:$F$74))+Assumptions!$B$37*(1-G6/MAX($G$2:$G$74)),0)</f>
        <v>0.606536519042954</v>
      </c>
    </row>
    <row r="7" customFormat="false" ht="15" hidden="false" customHeight="false" outlineLevel="0" collapsed="false">
      <c r="A7" s="0" t="s">
        <v>43</v>
      </c>
      <c r="B7" s="0" t="s">
        <v>44</v>
      </c>
      <c r="C7" s="0" t="s">
        <v>35</v>
      </c>
      <c r="D7" s="0" t="n">
        <v>149.8</v>
      </c>
      <c r="E7" s="0" t="n">
        <v>34</v>
      </c>
      <c r="F7" s="0" t="n">
        <v>23945</v>
      </c>
      <c r="G7" s="1" t="n">
        <f aca="false">Model!BD153/(Model!C153*12)</f>
        <v>395.478985213938</v>
      </c>
      <c r="H7" s="0" t="n">
        <f aca="false">IF(OR(C7="awd",C7="4wd"),Assumptions!$B$34*(D7/MAX($D$2:$D$74))+Assumptions!$B$35*(E7/MAX($E$2:$E$74))+Assumptions!$B$36*(1-F7/MAX($F$2:$F$74))+Assumptions!$B$37*(1-G7/MAX($G$2:$G$74)),0)</f>
        <v>0.516909999674361</v>
      </c>
    </row>
    <row r="8" customFormat="false" ht="15" hidden="false" customHeight="false" outlineLevel="0" collapsed="false">
      <c r="A8" s="0" t="s">
        <v>46</v>
      </c>
      <c r="B8" s="0" t="s">
        <v>47</v>
      </c>
      <c r="C8" s="0" t="s">
        <v>35</v>
      </c>
      <c r="D8" s="0" t="n">
        <v>162</v>
      </c>
      <c r="E8" s="0" t="n">
        <v>27</v>
      </c>
      <c r="F8" s="0" t="n">
        <v>26239</v>
      </c>
      <c r="G8" s="1" t="n">
        <f aca="false">Model!BD154/(Model!C154*12)</f>
        <v>440.126741097413</v>
      </c>
      <c r="H8" s="0" t="n">
        <f aca="false">IF(OR(C8="awd",C8="4wd"),Assumptions!$B$34*(D8/MAX($D$2:$D$74))+Assumptions!$B$35*(E8/MAX($E$2:$E$74))+Assumptions!$B$36*(1-F8/MAX($F$2:$F$74))+Assumptions!$B$37*(1-G8/MAX($G$2:$G$74)),0)</f>
        <v>0.492968217866448</v>
      </c>
    </row>
    <row r="9" customFormat="false" ht="15" hidden="false" customHeight="false" outlineLevel="0" collapsed="false">
      <c r="A9" s="0" t="s">
        <v>48</v>
      </c>
      <c r="B9" s="0" t="s">
        <v>49</v>
      </c>
      <c r="C9" s="0" t="s">
        <v>35</v>
      </c>
      <c r="D9" s="0" t="n">
        <v>174.1</v>
      </c>
      <c r="E9" s="0" t="n">
        <v>30</v>
      </c>
      <c r="F9" s="0" t="n">
        <v>30658</v>
      </c>
      <c r="G9" s="1" t="n">
        <f aca="false">Model!BD155/(Model!C155*12)</f>
        <v>460.531386693092</v>
      </c>
      <c r="H9" s="0" t="n">
        <f aca="false">IF(OR(C9="awd",C9="4wd"),Assumptions!$B$34*(D9/MAX($D$2:$D$74))+Assumptions!$B$35*(E9/MAX($E$2:$E$74))+Assumptions!$B$36*(1-F9/MAX($F$2:$F$74))+Assumptions!$B$37*(1-G9/MAX($G$2:$G$74)),0)</f>
        <v>0.495139055237014</v>
      </c>
    </row>
    <row r="10" customFormat="false" ht="15" hidden="false" customHeight="false" outlineLevel="0" collapsed="false">
      <c r="A10" s="0" t="s">
        <v>31</v>
      </c>
      <c r="B10" s="0" t="s">
        <v>50</v>
      </c>
      <c r="C10" s="0" t="s">
        <v>35</v>
      </c>
      <c r="D10" s="0" t="n">
        <v>174.2</v>
      </c>
      <c r="E10" s="0" t="n">
        <v>25.5</v>
      </c>
      <c r="F10" s="0" t="n">
        <v>28977</v>
      </c>
      <c r="G10" s="1" t="n">
        <f aca="false">Model!BD156/(Model!C156*12)</f>
        <v>435.806304162031</v>
      </c>
      <c r="H10" s="0" t="n">
        <f aca="false">IF(OR(C10="awd",C10="4wd"),Assumptions!$B$34*(D10/MAX($D$2:$D$74))+Assumptions!$B$35*(E10/MAX($E$2:$E$74))+Assumptions!$B$36*(1-F10/MAX($F$2:$F$74))+Assumptions!$B$37*(1-G10/MAX($G$2:$G$74)),0)</f>
        <v>0.490851002891491</v>
      </c>
    </row>
    <row r="11" customFormat="false" ht="15" hidden="false" customHeight="false" outlineLevel="0" collapsed="false">
      <c r="A11" s="0" t="s">
        <v>51</v>
      </c>
      <c r="B11" s="0" t="s">
        <v>52</v>
      </c>
      <c r="C11" s="0" t="s">
        <v>35</v>
      </c>
      <c r="D11" s="0" t="n">
        <v>148.4</v>
      </c>
      <c r="E11" s="0" t="n">
        <v>30</v>
      </c>
      <c r="F11" s="0" t="n">
        <v>27021</v>
      </c>
      <c r="G11" s="1" t="n">
        <f aca="false">Model!BD157/(Model!C157*12)</f>
        <v>441.583370607905</v>
      </c>
      <c r="H11" s="0" t="n">
        <f aca="false">IF(OR(C11="awd",C11="4wd"),Assumptions!$B$34*(D11/MAX($D$2:$D$74))+Assumptions!$B$35*(E11/MAX($E$2:$E$74))+Assumptions!$B$36*(1-F11/MAX($F$2:$F$74))+Assumptions!$B$37*(1-G11/MAX($G$2:$G$74)),0)</f>
        <v>0.485161117399334</v>
      </c>
    </row>
    <row r="12" customFormat="false" ht="15" hidden="false" customHeight="false" outlineLevel="0" collapsed="false">
      <c r="A12" s="0" t="s">
        <v>53</v>
      </c>
      <c r="B12" s="0" t="s">
        <v>54</v>
      </c>
      <c r="C12" s="0" t="s">
        <v>35</v>
      </c>
      <c r="D12" s="0" t="n">
        <v>146.2</v>
      </c>
      <c r="E12" s="0" t="n">
        <v>30</v>
      </c>
      <c r="F12" s="0" t="n">
        <v>27705</v>
      </c>
      <c r="G12" s="1" t="n">
        <f aca="false">Model!BD158/(Model!C158*12)</f>
        <v>444.904565459209</v>
      </c>
      <c r="H12" s="0" t="n">
        <f aca="false">IF(OR(C12="awd",C12="4wd"),Assumptions!$B$34*(D12/MAX($D$2:$D$74))+Assumptions!$B$35*(E12/MAX($E$2:$E$74))+Assumptions!$B$36*(1-F12/MAX($F$2:$F$74))+Assumptions!$B$37*(1-G12/MAX($G$2:$G$74)),0)</f>
        <v>0.479836827209233</v>
      </c>
    </row>
    <row r="13" customFormat="false" ht="15" hidden="false" customHeight="false" outlineLevel="0" collapsed="false">
      <c r="A13" s="0" t="s">
        <v>55</v>
      </c>
      <c r="B13" s="0" t="s">
        <v>56</v>
      </c>
      <c r="C13" s="0" t="s">
        <v>35</v>
      </c>
      <c r="D13" s="0" t="n">
        <v>194.5</v>
      </c>
      <c r="E13" s="0" t="n">
        <v>24</v>
      </c>
      <c r="F13" s="0" t="n">
        <v>34802</v>
      </c>
      <c r="G13" s="1" t="n">
        <f aca="false">Model!BD159/(Model!C159*12)</f>
        <v>499.19694592518</v>
      </c>
      <c r="H13" s="0" t="n">
        <f aca="false">IF(OR(C13="awd",C13="4wd"),Assumptions!$B$34*(D13/MAX($D$2:$D$74))+Assumptions!$B$35*(E13/MAX($E$2:$E$74))+Assumptions!$B$36*(1-F13/MAX($F$2:$F$74))+Assumptions!$B$37*(1-G13/MAX($G$2:$G$74)),0)</f>
        <v>0.476411392339093</v>
      </c>
    </row>
    <row r="14" customFormat="false" ht="15" hidden="false" customHeight="false" outlineLevel="0" collapsed="false">
      <c r="A14" s="0" t="s">
        <v>41</v>
      </c>
      <c r="B14" s="0" t="s">
        <v>57</v>
      </c>
      <c r="C14" s="0" t="s">
        <v>35</v>
      </c>
      <c r="D14" s="0" t="n">
        <v>148.3</v>
      </c>
      <c r="E14" s="0" t="n">
        <v>28</v>
      </c>
      <c r="F14" s="0" t="n">
        <v>27398</v>
      </c>
      <c r="G14" s="1" t="n">
        <f aca="false">Model!BD160/(Model!C160*12)</f>
        <v>444.613711399957</v>
      </c>
      <c r="H14" s="0" t="n">
        <f aca="false">IF(OR(C14="awd",C14="4wd"),Assumptions!$B$34*(D14/MAX($D$2:$D$74))+Assumptions!$B$35*(E14/MAX($E$2:$E$74))+Assumptions!$B$36*(1-F14/MAX($F$2:$F$74))+Assumptions!$B$37*(1-G14/MAX($G$2:$G$74)),0)</f>
        <v>0.476965092799764</v>
      </c>
    </row>
    <row r="15" customFormat="false" ht="15" hidden="false" customHeight="false" outlineLevel="0" collapsed="false">
      <c r="A15" s="0" t="s">
        <v>58</v>
      </c>
      <c r="B15" s="0" t="s">
        <v>59</v>
      </c>
      <c r="C15" s="0" t="s">
        <v>35</v>
      </c>
      <c r="D15" s="0" t="n">
        <v>115</v>
      </c>
      <c r="E15" s="0" t="n">
        <v>50</v>
      </c>
      <c r="F15" s="0" t="n">
        <v>38969</v>
      </c>
      <c r="G15" s="1" t="n">
        <f aca="false">Model!BD161/(Model!C161*12)</f>
        <v>483.609809847255</v>
      </c>
      <c r="H15" s="0" t="n">
        <f aca="false">IF(OR(C15="awd",C15="4wd"),Assumptions!$B$34*(D15/MAX($D$2:$D$74))+Assumptions!$B$35*(E15/MAX($E$2:$E$74))+Assumptions!$B$36*(1-F15/MAX($F$2:$F$74))+Assumptions!$B$37*(1-G15/MAX($G$2:$G$74)),0)</f>
        <v>0.46190044659537</v>
      </c>
    </row>
    <row r="16" customFormat="false" ht="15" hidden="false" customHeight="false" outlineLevel="0" collapsed="false">
      <c r="A16" s="0" t="s">
        <v>58</v>
      </c>
      <c r="B16" s="0" t="s">
        <v>61</v>
      </c>
      <c r="C16" s="0" t="s">
        <v>35</v>
      </c>
      <c r="D16" s="0" t="n">
        <v>149.3</v>
      </c>
      <c r="E16" s="0" t="n">
        <v>30</v>
      </c>
      <c r="F16" s="0" t="n">
        <v>31190</v>
      </c>
      <c r="G16" s="1" t="n">
        <f aca="false">Model!BD162/(Model!C162*12)</f>
        <v>455.899315940291</v>
      </c>
      <c r="H16" s="0" t="n">
        <f aca="false">IF(OR(C16="awd",C16="4wd"),Assumptions!$B$34*(D16/MAX($D$2:$D$74))+Assumptions!$B$35*(E16/MAX($E$2:$E$74))+Assumptions!$B$36*(1-F16/MAX($F$2:$F$74))+Assumptions!$B$37*(1-G16/MAX($G$2:$G$74)),0)</f>
        <v>0.468191111986909</v>
      </c>
    </row>
    <row r="17" customFormat="false" ht="15" hidden="false" customHeight="false" outlineLevel="0" collapsed="false">
      <c r="A17" s="0" t="s">
        <v>46</v>
      </c>
      <c r="B17" s="0" t="s">
        <v>62</v>
      </c>
      <c r="C17" s="0" t="s">
        <v>35</v>
      </c>
      <c r="D17" s="0" t="n">
        <v>163.7</v>
      </c>
      <c r="E17" s="0" t="n">
        <v>25</v>
      </c>
      <c r="F17" s="0" t="n">
        <v>29919</v>
      </c>
      <c r="G17" s="1" t="n">
        <f aca="false">Model!BD163/(Model!C163*12)</f>
        <v>474.7979237345</v>
      </c>
      <c r="H17" s="0" t="n">
        <f aca="false">IF(OR(C17="awd",C17="4wd"),Assumptions!$B$34*(D17/MAX($D$2:$D$74))+Assumptions!$B$35*(E17/MAX($E$2:$E$74))+Assumptions!$B$36*(1-F17/MAX($F$2:$F$74))+Assumptions!$B$37*(1-G17/MAX($G$2:$G$74)),0)</f>
        <v>0.469814616792174</v>
      </c>
    </row>
    <row r="18" customFormat="false" ht="15" hidden="false" customHeight="false" outlineLevel="0" collapsed="false">
      <c r="A18" s="0" t="s">
        <v>63</v>
      </c>
      <c r="B18" s="0" t="s">
        <v>64</v>
      </c>
      <c r="C18" s="0" t="s">
        <v>35</v>
      </c>
      <c r="D18" s="0" t="n">
        <v>162.4</v>
      </c>
      <c r="E18" s="0" t="n">
        <v>25</v>
      </c>
      <c r="F18" s="0" t="n">
        <v>31835</v>
      </c>
      <c r="G18" s="1" t="n">
        <f aca="false">Model!BD164/(Model!C164*12)</f>
        <v>466.277004905804</v>
      </c>
      <c r="H18" s="0" t="n">
        <f aca="false">IF(OR(C18="awd",C18="4wd"),Assumptions!$B$34*(D18/MAX($D$2:$D$74))+Assumptions!$B$35*(E18/MAX($E$2:$E$74))+Assumptions!$B$36*(1-F18/MAX($F$2:$F$74))+Assumptions!$B$37*(1-G18/MAX($G$2:$G$74)),0)</f>
        <v>0.462210132312984</v>
      </c>
    </row>
    <row r="19" customFormat="false" ht="15" hidden="false" customHeight="false" outlineLevel="0" collapsed="false">
      <c r="A19" s="0" t="s">
        <v>58</v>
      </c>
      <c r="B19" s="0" t="s">
        <v>65</v>
      </c>
      <c r="C19" s="0" t="s">
        <v>35</v>
      </c>
      <c r="D19" s="0" t="n">
        <v>168.7</v>
      </c>
      <c r="E19" s="0" t="n">
        <v>39</v>
      </c>
      <c r="F19" s="0" t="n">
        <v>43095</v>
      </c>
      <c r="G19" s="1" t="n">
        <f aca="false">Model!BD165/(Model!C165*12)</f>
        <v>504.789964852664</v>
      </c>
      <c r="H19" s="0" t="n">
        <f aca="false">IF(OR(C19="awd",C19="4wd"),Assumptions!$B$34*(D19/MAX($D$2:$D$74))+Assumptions!$B$35*(E19/MAX($E$2:$E$74))+Assumptions!$B$36*(1-F19/MAX($F$2:$F$74))+Assumptions!$B$37*(1-G19/MAX($G$2:$G$74)),0)</f>
        <v>0.464124469658507</v>
      </c>
    </row>
    <row r="20" customFormat="false" ht="15" hidden="false" customHeight="false" outlineLevel="0" collapsed="false">
      <c r="A20" s="0" t="s">
        <v>41</v>
      </c>
      <c r="B20" s="0" t="s">
        <v>66</v>
      </c>
      <c r="C20" s="0" t="s">
        <v>35</v>
      </c>
      <c r="D20" s="0" t="n">
        <v>169.1</v>
      </c>
      <c r="E20" s="0" t="n">
        <v>33</v>
      </c>
      <c r="F20" s="0" t="n">
        <v>40145</v>
      </c>
      <c r="G20" s="1" t="n">
        <f aca="false">Model!BD166/(Model!C166*12)</f>
        <v>525.391347200639</v>
      </c>
      <c r="H20" s="0" t="n">
        <f aca="false">IF(OR(C20="awd",C20="4wd"),Assumptions!$B$34*(D20/MAX($D$2:$D$74))+Assumptions!$B$35*(E20/MAX($E$2:$E$74))+Assumptions!$B$36*(1-F20/MAX($F$2:$F$74))+Assumptions!$B$37*(1-G20/MAX($G$2:$G$74)),0)</f>
        <v>0.454466450762163</v>
      </c>
    </row>
    <row r="21" customFormat="false" ht="15" hidden="false" customHeight="false" outlineLevel="0" collapsed="false">
      <c r="A21" s="0" t="s">
        <v>67</v>
      </c>
      <c r="B21" s="0" t="s">
        <v>68</v>
      </c>
      <c r="C21" s="0" t="s">
        <v>35</v>
      </c>
      <c r="D21" s="0" t="n">
        <v>156.3</v>
      </c>
      <c r="E21" s="0" t="n">
        <v>25</v>
      </c>
      <c r="F21" s="0" t="n">
        <v>32340</v>
      </c>
      <c r="G21" s="1" t="n">
        <f aca="false">Model!BD167/(Model!C167*12)</f>
        <v>468.787034914027</v>
      </c>
      <c r="H21" s="0" t="n">
        <f aca="false">IF(OR(C21="awd",C21="4wd"),Assumptions!$B$34*(D21/MAX($D$2:$D$74))+Assumptions!$B$35*(E21/MAX($E$2:$E$74))+Assumptions!$B$36*(1-F21/MAX($F$2:$F$74))+Assumptions!$B$37*(1-G21/MAX($G$2:$G$74)),0)</f>
        <v>0.453669380079192</v>
      </c>
    </row>
    <row r="22" customFormat="false" ht="15" hidden="false" customHeight="false" outlineLevel="0" collapsed="false">
      <c r="A22" s="0" t="s">
        <v>31</v>
      </c>
      <c r="B22" s="0" t="s">
        <v>69</v>
      </c>
      <c r="C22" s="0" t="s">
        <v>35</v>
      </c>
      <c r="D22" s="0" t="n">
        <v>175.6</v>
      </c>
      <c r="E22" s="0" t="n">
        <v>26</v>
      </c>
      <c r="F22" s="0" t="n">
        <v>36445</v>
      </c>
      <c r="G22" s="1" t="n">
        <f aca="false">Model!BD168/(Model!C168*12)</f>
        <v>497.69656426642</v>
      </c>
      <c r="H22" s="0" t="n">
        <f aca="false">IF(OR(C22="awd",C22="4wd"),Assumptions!$B$34*(D22/MAX($D$2:$D$74))+Assumptions!$B$35*(E22/MAX($E$2:$E$74))+Assumptions!$B$36*(1-F22/MAX($F$2:$F$74))+Assumptions!$B$37*(1-G22/MAX($G$2:$G$74)),0)</f>
        <v>0.45709986673393</v>
      </c>
    </row>
    <row r="23" customFormat="false" ht="15" hidden="false" customHeight="false" outlineLevel="0" collapsed="false">
      <c r="A23" s="0" t="s">
        <v>31</v>
      </c>
      <c r="B23" s="0" t="s">
        <v>70</v>
      </c>
      <c r="C23" s="0" t="s">
        <v>35</v>
      </c>
      <c r="D23" s="0" t="n">
        <v>171</v>
      </c>
      <c r="E23" s="0" t="n">
        <v>26</v>
      </c>
      <c r="F23" s="0" t="n">
        <v>37818</v>
      </c>
      <c r="G23" s="1" t="n">
        <f aca="false">Model!BD169/(Model!C169*12)</f>
        <v>503.314088423588</v>
      </c>
      <c r="H23" s="0" t="n">
        <f aca="false">IF(OR(C23="awd",C23="4wd"),Assumptions!$B$34*(D23/MAX($D$2:$D$74))+Assumptions!$B$35*(E23/MAX($E$2:$E$74))+Assumptions!$B$36*(1-F23/MAX($F$2:$F$74))+Assumptions!$B$37*(1-G23/MAX($G$2:$G$74)),0)</f>
        <v>0.446359196776831</v>
      </c>
    </row>
    <row r="24" customFormat="false" ht="15" hidden="false" customHeight="false" outlineLevel="0" collapsed="false">
      <c r="A24" s="0" t="s">
        <v>41</v>
      </c>
      <c r="B24" s="0" t="s">
        <v>71</v>
      </c>
      <c r="C24" s="0" t="s">
        <v>35</v>
      </c>
      <c r="D24" s="0" t="n">
        <v>183.8</v>
      </c>
      <c r="E24" s="0" t="n">
        <v>25</v>
      </c>
      <c r="F24" s="0" t="n">
        <v>40446</v>
      </c>
      <c r="G24" s="1" t="n">
        <f aca="false">Model!BD170/(Model!C170*12)</f>
        <v>550.077940812532</v>
      </c>
      <c r="H24" s="0" t="n">
        <f aca="false">IF(OR(C24="awd",C24="4wd"),Assumptions!$B$34*(D24/MAX($D$2:$D$74))+Assumptions!$B$35*(E24/MAX($E$2:$E$74))+Assumptions!$B$36*(1-F24/MAX($F$2:$F$74))+Assumptions!$B$37*(1-G24/MAX($G$2:$G$74)),0)</f>
        <v>0.440225097874733</v>
      </c>
    </row>
    <row r="25" customFormat="false" ht="15" hidden="false" customHeight="false" outlineLevel="0" collapsed="false">
      <c r="A25" s="0" t="s">
        <v>63</v>
      </c>
      <c r="B25" s="0" t="s">
        <v>72</v>
      </c>
      <c r="C25" s="0" t="s">
        <v>35</v>
      </c>
      <c r="D25" s="0" t="n">
        <v>184.8</v>
      </c>
      <c r="E25" s="0" t="n">
        <v>23</v>
      </c>
      <c r="F25" s="0" t="n">
        <v>40457</v>
      </c>
      <c r="G25" s="1" t="n">
        <f aca="false">Model!BD171/(Model!C171*12)</f>
        <v>551.239630868502</v>
      </c>
      <c r="H25" s="0" t="n">
        <f aca="false">IF(OR(C25="awd",C25="4wd"),Assumptions!$B$34*(D25/MAX($D$2:$D$74))+Assumptions!$B$35*(E25/MAX($E$2:$E$74))+Assumptions!$B$36*(1-F25/MAX($F$2:$F$74))+Assumptions!$B$37*(1-G25/MAX($G$2:$G$74)),0)</f>
        <v>0.434810519072689</v>
      </c>
    </row>
    <row r="26" customFormat="false" ht="15" hidden="false" customHeight="false" outlineLevel="0" collapsed="false">
      <c r="A26" s="0" t="s">
        <v>58</v>
      </c>
      <c r="B26" s="0" t="s">
        <v>73</v>
      </c>
      <c r="C26" s="0" t="s">
        <v>35</v>
      </c>
      <c r="D26" s="0" t="n">
        <v>182.3</v>
      </c>
      <c r="E26" s="0" t="n">
        <v>35</v>
      </c>
      <c r="F26" s="0" t="n">
        <v>49575</v>
      </c>
      <c r="G26" s="1" t="n">
        <f aca="false">Model!BD172/(Model!C172*12)</f>
        <v>518.659945700274</v>
      </c>
      <c r="H26" s="0" t="n">
        <f aca="false">IF(OR(C26="awd",C26="4wd"),Assumptions!$B$34*(D26/MAX($D$2:$D$74))+Assumptions!$B$35*(E26/MAX($E$2:$E$74))+Assumptions!$B$36*(1-F26/MAX($F$2:$F$74))+Assumptions!$B$37*(1-G26/MAX($G$2:$G$74)),0)</f>
        <v>0.438879725547491</v>
      </c>
    </row>
    <row r="27" customFormat="false" ht="15" hidden="false" customHeight="false" outlineLevel="0" collapsed="false">
      <c r="A27" s="0" t="s">
        <v>63</v>
      </c>
      <c r="B27" s="0" t="s">
        <v>74</v>
      </c>
      <c r="C27" s="0" t="s">
        <v>35</v>
      </c>
      <c r="D27" s="0" t="n">
        <v>87.3</v>
      </c>
      <c r="E27" s="0" t="n">
        <v>37</v>
      </c>
      <c r="F27" s="0" t="n">
        <v>32598</v>
      </c>
      <c r="G27" s="1" t="n">
        <f aca="false">Model!BD173/(Model!C173*12)</f>
        <v>465.66684000888</v>
      </c>
      <c r="H27" s="0" t="n">
        <f aca="false">IF(OR(C27="awd",C27="4wd"),Assumptions!$B$34*(D27/MAX($D$2:$D$74))+Assumptions!$B$35*(E27/MAX($E$2:$E$74))+Assumptions!$B$36*(1-F27/MAX($F$2:$F$74))+Assumptions!$B$37*(1-G27/MAX($G$2:$G$74)),0)</f>
        <v>0.41962987880162</v>
      </c>
    </row>
    <row r="28" customFormat="false" ht="15" hidden="false" customHeight="false" outlineLevel="0" collapsed="false">
      <c r="A28" s="0" t="s">
        <v>31</v>
      </c>
      <c r="B28" s="0" t="s">
        <v>76</v>
      </c>
      <c r="C28" s="0" t="s">
        <v>35</v>
      </c>
      <c r="D28" s="0" t="n">
        <v>120.4</v>
      </c>
      <c r="E28" s="0" t="n">
        <v>36</v>
      </c>
      <c r="F28" s="0" t="n">
        <v>36712</v>
      </c>
      <c r="G28" s="1" t="n">
        <f aca="false">Model!BD174/(Model!C174*12)</f>
        <v>495.773930863962</v>
      </c>
      <c r="H28" s="0" t="n">
        <f aca="false">IF(OR(C28="awd",C28="4wd"),Assumptions!$B$34*(D28/MAX($D$2:$D$74))+Assumptions!$B$35*(E28/MAX($E$2:$E$74))+Assumptions!$B$36*(1-F28/MAX($F$2:$F$74))+Assumptions!$B$37*(1-G28/MAX($G$2:$G$74)),0)</f>
        <v>0.430810787175605</v>
      </c>
    </row>
    <row r="29" customFormat="false" ht="15" hidden="false" customHeight="false" outlineLevel="0" collapsed="false">
      <c r="A29" s="0" t="s">
        <v>58</v>
      </c>
      <c r="B29" s="0" t="s">
        <v>77</v>
      </c>
      <c r="C29" s="0" t="s">
        <v>35</v>
      </c>
      <c r="D29" s="0" t="n">
        <v>121.3</v>
      </c>
      <c r="E29" s="0" t="n">
        <v>41</v>
      </c>
      <c r="F29" s="0" t="n">
        <v>43054</v>
      </c>
      <c r="G29" s="1" t="n">
        <f aca="false">Model!BD175/(Model!C175*12)</f>
        <v>508.04998943693</v>
      </c>
      <c r="H29" s="0" t="n">
        <f aca="false">IF(OR(C29="awd",C29="4wd"),Assumptions!$B$34*(D29/MAX($D$2:$D$74))+Assumptions!$B$35*(E29/MAX($E$2:$E$74))+Assumptions!$B$36*(1-F29/MAX($F$2:$F$74))+Assumptions!$B$37*(1-G29/MAX($G$2:$G$74)),0)</f>
        <v>0.421369419787845</v>
      </c>
    </row>
    <row r="30" customFormat="false" ht="15" hidden="false" customHeight="false" outlineLevel="0" collapsed="false">
      <c r="A30" s="0" t="s">
        <v>78</v>
      </c>
      <c r="B30" s="0" t="s">
        <v>79</v>
      </c>
      <c r="C30" s="0" t="s">
        <v>35</v>
      </c>
      <c r="D30" s="0" t="n">
        <v>142.9</v>
      </c>
      <c r="E30" s="0" t="n">
        <v>28</v>
      </c>
      <c r="F30" s="0" t="n">
        <v>42080</v>
      </c>
      <c r="G30" s="1" t="n">
        <f aca="false">Model!BD176/(Model!C176*12)</f>
        <v>525.569223702585</v>
      </c>
      <c r="H30" s="0" t="n">
        <f aca="false">IF(OR(C30="awd",C30="4wd"),Assumptions!$B$34*(D30/MAX($D$2:$D$74))+Assumptions!$B$35*(E30/MAX($E$2:$E$74))+Assumptions!$B$36*(1-F30/MAX($F$2:$F$74))+Assumptions!$B$37*(1-G30/MAX($G$2:$G$74)),0)</f>
        <v>0.404432546971097</v>
      </c>
    </row>
    <row r="31" customFormat="false" ht="15" hidden="false" customHeight="false" outlineLevel="0" collapsed="false">
      <c r="A31" s="0" t="s">
        <v>80</v>
      </c>
      <c r="B31" s="0" t="s">
        <v>81</v>
      </c>
      <c r="C31" s="0" t="s">
        <v>35</v>
      </c>
      <c r="D31" s="0" t="n">
        <v>163.3</v>
      </c>
      <c r="E31" s="0" t="n">
        <v>26</v>
      </c>
      <c r="F31" s="0" t="n">
        <v>46900</v>
      </c>
      <c r="G31" s="1" t="n">
        <f aca="false">Model!BD177/(Model!C177*12)</f>
        <v>584.626506250923</v>
      </c>
      <c r="H31" s="0" t="n">
        <f aca="false">IF(OR(C31="awd",C31="4wd"),Assumptions!$B$34*(D31/MAX($D$2:$D$74))+Assumptions!$B$35*(E31/MAX($E$2:$E$74))+Assumptions!$B$36*(1-F31/MAX($F$2:$F$74))+Assumptions!$B$37*(1-G31/MAX($G$2:$G$74)),0)</f>
        <v>0.392961560101236</v>
      </c>
    </row>
    <row r="32" customFormat="false" ht="15" hidden="false" customHeight="false" outlineLevel="0" collapsed="false">
      <c r="A32" s="0" t="s">
        <v>82</v>
      </c>
      <c r="B32" s="0" t="s">
        <v>83</v>
      </c>
      <c r="C32" s="0" t="s">
        <v>35</v>
      </c>
      <c r="D32" s="0" t="n">
        <v>164.1</v>
      </c>
      <c r="E32" s="0" t="n">
        <v>23</v>
      </c>
      <c r="F32" s="0" t="n">
        <v>46469</v>
      </c>
      <c r="G32" s="1" t="n">
        <f aca="false">Model!BD178/(Model!C178*12)</f>
        <v>590.625629429028</v>
      </c>
      <c r="H32" s="0" t="n">
        <f aca="false">IF(OR(C32="awd",C32="4wd"),Assumptions!$B$34*(D32/MAX($D$2:$D$74))+Assumptions!$B$35*(E32/MAX($E$2:$E$74))+Assumptions!$B$36*(1-F32/MAX($F$2:$F$74))+Assumptions!$B$37*(1-G32/MAX($G$2:$G$74)),0)</f>
        <v>0.385290094358168</v>
      </c>
    </row>
    <row r="33" customFormat="false" ht="15" hidden="false" customHeight="false" outlineLevel="0" collapsed="false">
      <c r="A33" s="0" t="s">
        <v>84</v>
      </c>
      <c r="B33" s="0" t="s">
        <v>85</v>
      </c>
      <c r="C33" s="0" t="s">
        <v>35</v>
      </c>
      <c r="D33" s="0" t="n">
        <v>153.5</v>
      </c>
      <c r="E33" s="0" t="n">
        <v>28</v>
      </c>
      <c r="F33" s="0" t="n">
        <v>49687</v>
      </c>
      <c r="G33" s="1" t="n">
        <f aca="false">Model!BD179/(Model!C179*12)</f>
        <v>584.478830519739</v>
      </c>
      <c r="H33" s="0" t="n">
        <f aca="false">IF(OR(C33="awd",C33="4wd"),Assumptions!$B$34*(D33/MAX($D$2:$D$74))+Assumptions!$B$35*(E33/MAX($E$2:$E$74))+Assumptions!$B$36*(1-F33/MAX($F$2:$F$74))+Assumptions!$B$37*(1-G33/MAX($G$2:$G$74)),0)</f>
        <v>0.378430495242856</v>
      </c>
    </row>
    <row r="34" customFormat="false" ht="15" hidden="false" customHeight="false" outlineLevel="0" collapsed="false">
      <c r="A34" s="0" t="s">
        <v>86</v>
      </c>
      <c r="B34" s="0" t="s">
        <v>87</v>
      </c>
      <c r="C34" s="0" t="s">
        <v>35</v>
      </c>
      <c r="D34" s="0" t="n">
        <v>155.9</v>
      </c>
      <c r="E34" s="0" t="n">
        <v>23</v>
      </c>
      <c r="F34" s="0" t="n">
        <v>44350</v>
      </c>
      <c r="G34" s="1" t="n">
        <f aca="false">Model!BD180/(Model!C180*12)</f>
        <v>580.950434647476</v>
      </c>
      <c r="H34" s="0" t="n">
        <f aca="false">IF(OR(C34="awd",C34="4wd"),Assumptions!$B$34*(D34/MAX($D$2:$D$74))+Assumptions!$B$35*(E34/MAX($E$2:$E$74))+Assumptions!$B$36*(1-F34/MAX($F$2:$F$74))+Assumptions!$B$37*(1-G34/MAX($G$2:$G$74)),0)</f>
        <v>0.386264870794648</v>
      </c>
    </row>
    <row r="35" customFormat="false" ht="15" hidden="false" customHeight="false" outlineLevel="0" collapsed="false">
      <c r="A35" s="0" t="s">
        <v>86</v>
      </c>
      <c r="B35" s="0" t="s">
        <v>88</v>
      </c>
      <c r="C35" s="0" t="s">
        <v>35</v>
      </c>
      <c r="D35" s="0" t="n">
        <v>181.3</v>
      </c>
      <c r="E35" s="0" t="n">
        <v>22</v>
      </c>
      <c r="F35" s="0" t="n">
        <v>50150</v>
      </c>
      <c r="G35" s="1" t="n">
        <f aca="false">Model!BD181/(Model!C181*12)</f>
        <v>614.321139890334</v>
      </c>
      <c r="H35" s="0" t="n">
        <f aca="false">IF(OR(C35="awd",C35="4wd"),Assumptions!$B$34*(D35/MAX($D$2:$D$74))+Assumptions!$B$35*(E35/MAX($E$2:$E$74))+Assumptions!$B$36*(1-F35/MAX($F$2:$F$74))+Assumptions!$B$37*(1-G35/MAX($G$2:$G$74)),0)</f>
        <v>0.382618193267074</v>
      </c>
    </row>
    <row r="36" customFormat="false" ht="15" hidden="false" customHeight="false" outlineLevel="0" collapsed="false">
      <c r="A36" s="0" t="s">
        <v>89</v>
      </c>
      <c r="B36" s="0" t="s">
        <v>90</v>
      </c>
      <c r="C36" s="0" t="s">
        <v>35</v>
      </c>
      <c r="D36" s="0" t="n">
        <v>153.9</v>
      </c>
      <c r="E36" s="0" t="n">
        <v>24</v>
      </c>
      <c r="F36" s="0" t="n">
        <v>45150</v>
      </c>
      <c r="G36" s="1" t="n">
        <f aca="false">Model!BD182/(Model!C182*12)</f>
        <v>594.780012184669</v>
      </c>
      <c r="H36" s="0" t="n">
        <f aca="false">IF(OR(C36="awd",C36="4wd"),Assumptions!$B$34*(D36/MAX($D$2:$D$74))+Assumptions!$B$35*(E36/MAX($E$2:$E$74))+Assumptions!$B$36*(1-F36/MAX($F$2:$F$74))+Assumptions!$B$37*(1-G36/MAX($G$2:$G$74)),0)</f>
        <v>0.382463229971605</v>
      </c>
    </row>
    <row r="37" customFormat="false" ht="15" hidden="false" customHeight="false" outlineLevel="0" collapsed="false">
      <c r="A37" s="0" t="s">
        <v>58</v>
      </c>
      <c r="B37" s="0" t="s">
        <v>91</v>
      </c>
      <c r="C37" s="0" t="s">
        <v>35</v>
      </c>
      <c r="D37" s="0" t="n">
        <v>186.7</v>
      </c>
      <c r="E37" s="0" t="n">
        <v>17</v>
      </c>
      <c r="F37" s="0" t="n">
        <v>50244</v>
      </c>
      <c r="G37" s="1" t="n">
        <f aca="false">Model!BD183/(Model!C183*12)</f>
        <v>586.655823806292</v>
      </c>
      <c r="H37" s="0" t="n">
        <f aca="false">IF(OR(C37="awd",C37="4wd"),Assumptions!$B$34*(D37/MAX($D$2:$D$74))+Assumptions!$B$35*(E37/MAX($E$2:$E$74))+Assumptions!$B$36*(1-F37/MAX($F$2:$F$74))+Assumptions!$B$37*(1-G37/MAX($G$2:$G$74)),0)</f>
        <v>0.375769137643751</v>
      </c>
    </row>
    <row r="38" customFormat="false" ht="15" hidden="false" customHeight="false" outlineLevel="0" collapsed="false">
      <c r="A38" s="0" t="s">
        <v>92</v>
      </c>
      <c r="B38" s="0" t="s">
        <v>93</v>
      </c>
      <c r="C38" s="0" t="s">
        <v>35</v>
      </c>
      <c r="D38" s="0" t="n">
        <v>149.7</v>
      </c>
      <c r="E38" s="0" t="n">
        <v>19</v>
      </c>
      <c r="F38" s="0" t="n">
        <v>48195</v>
      </c>
      <c r="G38" s="1" t="n">
        <f aca="false">Model!BD184/(Model!C184*12)</f>
        <v>593.064171762099</v>
      </c>
      <c r="H38" s="0" t="n">
        <f aca="false">IF(OR(C38="awd",C38="4wd"),Assumptions!$B$34*(D38/MAX($D$2:$D$74))+Assumptions!$B$35*(E38/MAX($E$2:$E$74))+Assumptions!$B$36*(1-F38/MAX($F$2:$F$74))+Assumptions!$B$37*(1-G38/MAX($G$2:$G$74)),0)</f>
        <v>0.351026060984759</v>
      </c>
    </row>
    <row r="39" customFormat="false" ht="15" hidden="false" customHeight="false" outlineLevel="0" collapsed="false">
      <c r="A39" s="0" t="s">
        <v>78</v>
      </c>
      <c r="B39" s="0" t="s">
        <v>94</v>
      </c>
      <c r="C39" s="0" t="s">
        <v>35</v>
      </c>
      <c r="D39" s="0" t="n">
        <v>143.2</v>
      </c>
      <c r="E39" s="0" t="n">
        <v>25</v>
      </c>
      <c r="F39" s="0" t="n">
        <v>53913</v>
      </c>
      <c r="G39" s="1" t="n">
        <f aca="false">Model!BD185/(Model!C185*12)</f>
        <v>589.767490627943</v>
      </c>
      <c r="H39" s="0" t="n">
        <f aca="false">IF(OR(C39="awd",C39="4wd"),Assumptions!$B$34*(D39/MAX($D$2:$D$74))+Assumptions!$B$35*(E39/MAX($E$2:$E$74))+Assumptions!$B$36*(1-F39/MAX($F$2:$F$74))+Assumptions!$B$37*(1-G39/MAX($G$2:$G$74)),0)</f>
        <v>0.341519240075742</v>
      </c>
    </row>
    <row r="40" customFormat="false" ht="15" hidden="false" customHeight="false" outlineLevel="0" collapsed="false">
      <c r="A40" s="0" t="s">
        <v>89</v>
      </c>
      <c r="B40" s="0" t="s">
        <v>95</v>
      </c>
      <c r="C40" s="0" t="s">
        <v>35</v>
      </c>
      <c r="D40" s="0" t="n">
        <v>152</v>
      </c>
      <c r="E40" s="0" t="n">
        <v>25</v>
      </c>
      <c r="F40" s="0" t="n">
        <v>61012</v>
      </c>
      <c r="G40" s="1" t="n">
        <f aca="false">Model!BD186/(Model!C186*12)</f>
        <v>669.48415026877</v>
      </c>
      <c r="H40" s="0" t="n">
        <f aca="false">IF(OR(C40="awd",C40="4wd"),Assumptions!$B$34*(D40/MAX($D$2:$D$74))+Assumptions!$B$35*(E40/MAX($E$2:$E$74))+Assumptions!$B$36*(1-F40/MAX($F$2:$F$74))+Assumptions!$B$37*(1-G40/MAX($G$2:$G$74)),0)</f>
        <v>0.3129246270627</v>
      </c>
    </row>
    <row r="41" customFormat="false" ht="15" hidden="false" customHeight="false" outlineLevel="0" collapsed="false">
      <c r="A41" s="0" t="s">
        <v>51</v>
      </c>
      <c r="B41" s="0" t="s">
        <v>96</v>
      </c>
      <c r="C41" s="0" t="s">
        <v>35</v>
      </c>
      <c r="D41" s="0" t="n">
        <v>90.1</v>
      </c>
      <c r="E41" s="0" t="n">
        <v>63</v>
      </c>
      <c r="F41" s="0" t="n">
        <v>73369</v>
      </c>
      <c r="G41" s="1" t="n">
        <f aca="false">Model!BD187/(Model!C187*12)</f>
        <v>643.61765967145</v>
      </c>
      <c r="H41" s="0" t="n">
        <f aca="false">IF(OR(C41="awd",C41="4wd"),Assumptions!$B$34*(D41/MAX($D$2:$D$74))+Assumptions!$B$35*(E41/MAX($E$2:$E$74))+Assumptions!$B$36*(1-F41/MAX($F$2:$F$74))+Assumptions!$B$37*(1-G41/MAX($G$2:$G$74)),0)</f>
        <v>0.323832070224139</v>
      </c>
    </row>
    <row r="42" customFormat="false" ht="15" hidden="false" customHeight="false" outlineLevel="0" collapsed="false">
      <c r="A42" s="0" t="s">
        <v>58</v>
      </c>
      <c r="B42" s="0" t="s">
        <v>97</v>
      </c>
      <c r="C42" s="0" t="s">
        <v>35</v>
      </c>
      <c r="D42" s="0" t="n">
        <v>179.1</v>
      </c>
      <c r="E42" s="0" t="n">
        <v>25</v>
      </c>
      <c r="F42" s="0" t="n">
        <v>77972</v>
      </c>
      <c r="G42" s="1" t="n">
        <f aca="false">Model!BD188/(Model!C188*12)</f>
        <v>771.715037316089</v>
      </c>
      <c r="H42" s="0" t="n">
        <f aca="false">IF(OR(C42="awd",C42="4wd"),Assumptions!$B$34*(D42/MAX($D$2:$D$74))+Assumptions!$B$35*(E42/MAX($E$2:$E$74))+Assumptions!$B$36*(1-F42/MAX($F$2:$F$74))+Assumptions!$B$37*(1-G42/MAX($G$2:$G$74)),0)</f>
        <v>0.262289524421594</v>
      </c>
    </row>
    <row r="43" customFormat="false" ht="15" hidden="false" customHeight="false" outlineLevel="0" collapsed="false">
      <c r="A43" s="0" t="s">
        <v>43</v>
      </c>
      <c r="B43" s="0" t="s">
        <v>98</v>
      </c>
      <c r="C43" s="0" t="s">
        <v>99</v>
      </c>
      <c r="D43" s="0" t="n">
        <v>143.5</v>
      </c>
      <c r="E43" s="0" t="n">
        <v>53</v>
      </c>
      <c r="F43" s="0" t="n">
        <v>39600</v>
      </c>
      <c r="G43" s="1" t="n">
        <f aca="false">Model!BD189/(Model!C189*12)</f>
        <v>459.218741192146</v>
      </c>
      <c r="H43" s="0" t="n">
        <f aca="false">IF(OR(C43="awd",C43="4wd"),Assumptions!$B$34*(D43/MAX($D$2:$D$74))+Assumptions!$B$35*(E43/MAX($E$2:$E$74))+Assumptions!$B$36*(1-F43/MAX($F$2:$F$74))+Assumptions!$B$37*(1-G43/MAX($G$2:$G$74)),0)</f>
        <v>0</v>
      </c>
    </row>
    <row r="44" customFormat="false" ht="15" hidden="false" customHeight="false" outlineLevel="0" collapsed="false">
      <c r="A44" s="0" t="s">
        <v>67</v>
      </c>
      <c r="B44" s="0" t="s">
        <v>100</v>
      </c>
      <c r="C44" s="0" t="s">
        <v>99</v>
      </c>
      <c r="D44" s="0" t="n">
        <v>174.9</v>
      </c>
      <c r="E44" s="0" t="n">
        <v>25</v>
      </c>
      <c r="F44" s="0" t="n">
        <v>49945</v>
      </c>
      <c r="G44" s="1" t="n">
        <f aca="false">Model!BD190/(Model!C190*12)</f>
        <v>541.521369455051</v>
      </c>
      <c r="H44" s="0" t="n">
        <f aca="false">IF(OR(C44="awd",C44="4wd"),Assumptions!$B$34*(D44/MAX($D$2:$D$74))+Assumptions!$B$35*(E44/MAX($E$2:$E$74))+Assumptions!$B$36*(1-F44/MAX($F$2:$F$74))+Assumptions!$B$37*(1-G44/MAX($G$2:$G$74)),0)</f>
        <v>0</v>
      </c>
    </row>
    <row r="45" customFormat="false" ht="15" hidden="false" customHeight="false" outlineLevel="0" collapsed="false">
      <c r="A45" s="0" t="s">
        <v>43</v>
      </c>
      <c r="B45" s="0" t="s">
        <v>101</v>
      </c>
      <c r="C45" s="0" t="s">
        <v>99</v>
      </c>
      <c r="D45" s="0" t="n">
        <v>148.2</v>
      </c>
      <c r="E45" s="0" t="n">
        <v>117</v>
      </c>
      <c r="F45" s="0" t="n">
        <v>42600</v>
      </c>
      <c r="G45" s="1" t="n">
        <f aca="false">Model!BD191/(Model!C191*12)</f>
        <v>457.478770279958</v>
      </c>
      <c r="H45" s="0" t="n">
        <f aca="false">IF(OR(C45="awd",C45="4wd"),Assumptions!$B$34*(D45/MAX($D$2:$D$74))+Assumptions!$B$35*(E45/MAX($E$2:$E$74))+Assumptions!$B$36*(1-F45/MAX($F$2:$F$74))+Assumptions!$B$37*(1-G45/MAX($G$2:$G$74)),0)</f>
        <v>0</v>
      </c>
    </row>
    <row r="46" customFormat="false" ht="15" hidden="false" customHeight="false" outlineLevel="0" collapsed="false">
      <c r="A46" s="0" t="s">
        <v>67</v>
      </c>
      <c r="B46" s="0" t="s">
        <v>102</v>
      </c>
      <c r="C46" s="0" t="s">
        <v>99</v>
      </c>
      <c r="D46" s="0" t="n">
        <v>115.1</v>
      </c>
      <c r="E46" s="0" t="n">
        <v>26</v>
      </c>
      <c r="F46" s="0" t="n">
        <v>24995</v>
      </c>
      <c r="G46" s="1" t="n">
        <f aca="false">Model!BD192/(Model!C192*12)</f>
        <v>408.308928966363</v>
      </c>
      <c r="H46" s="0" t="n">
        <f aca="false">IF(OR(C46="awd",C46="4wd"),Assumptions!$B$34*(D46/MAX($D$2:$D$74))+Assumptions!$B$35*(E46/MAX($E$2:$E$74))+Assumptions!$B$36*(1-F46/MAX($F$2:$F$74))+Assumptions!$B$37*(1-G46/MAX($G$2:$G$74)),0)</f>
        <v>0</v>
      </c>
    </row>
    <row r="47" customFormat="false" ht="15" hidden="false" customHeight="false" outlineLevel="0" collapsed="false">
      <c r="A47" s="0" t="s">
        <v>103</v>
      </c>
      <c r="B47" s="0" t="s">
        <v>104</v>
      </c>
      <c r="C47" s="0" t="s">
        <v>99</v>
      </c>
      <c r="D47" s="0" t="n">
        <v>100.3</v>
      </c>
      <c r="E47" s="0" t="n">
        <v>24</v>
      </c>
      <c r="F47" s="0" t="n">
        <v>38800</v>
      </c>
      <c r="G47" s="1" t="n">
        <f aca="false">Model!BD193/(Model!C193*12)</f>
        <v>502.725499889026</v>
      </c>
      <c r="H47" s="0" t="n">
        <f aca="false">IF(OR(C47="awd",C47="4wd"),Assumptions!$B$34*(D47/MAX($D$2:$D$74))+Assumptions!$B$35*(E47/MAX($E$2:$E$74))+Assumptions!$B$36*(1-F47/MAX($F$2:$F$74))+Assumptions!$B$37*(1-G47/MAX($G$2:$G$74)),0)</f>
        <v>0</v>
      </c>
    </row>
    <row r="48" customFormat="false" ht="15" hidden="false" customHeight="false" outlineLevel="0" collapsed="false">
      <c r="A48" s="0" t="s">
        <v>105</v>
      </c>
      <c r="B48" s="0" t="s">
        <v>106</v>
      </c>
      <c r="C48" s="0" t="s">
        <v>107</v>
      </c>
      <c r="D48" s="0" t="n">
        <v>154.9</v>
      </c>
      <c r="E48" s="0" t="n">
        <v>24</v>
      </c>
      <c r="F48" s="0" t="n">
        <v>41330</v>
      </c>
      <c r="G48" s="1" t="n">
        <f aca="false">Model!BD194/(Model!C194*12)</f>
        <v>542.43978825607</v>
      </c>
      <c r="H48" s="0" t="n">
        <f aca="false">IF(OR(C48="awd",C48="4wd"),Assumptions!$B$34*(D48/MAX($D$2:$D$74))+Assumptions!$B$35*(E48/MAX($E$2:$E$74))+Assumptions!$B$36*(1-F48/MAX($F$2:$F$74))+Assumptions!$B$37*(1-G48/MAX($G$2:$G$74)),0)</f>
        <v>0</v>
      </c>
    </row>
    <row r="49" customFormat="false" ht="15" hidden="false" customHeight="false" outlineLevel="0" collapsed="false">
      <c r="A49" s="0" t="s">
        <v>41</v>
      </c>
      <c r="B49" s="0" t="s">
        <v>108</v>
      </c>
      <c r="C49" s="0" t="s">
        <v>99</v>
      </c>
      <c r="D49" s="0" t="n">
        <v>174.8</v>
      </c>
      <c r="E49" s="0" t="n">
        <v>26</v>
      </c>
      <c r="F49" s="0" t="n">
        <v>27500</v>
      </c>
      <c r="G49" s="1" t="n">
        <f aca="false">Model!BD195/(Model!C195*12)</f>
        <v>440.053377266786</v>
      </c>
      <c r="H49" s="0" t="n">
        <f aca="false">IF(OR(C49="awd",C49="4wd"),Assumptions!$B$34*(D49/MAX($D$2:$D$74))+Assumptions!$B$35*(E49/MAX($E$2:$E$74))+Assumptions!$B$36*(1-F49/MAX($F$2:$F$74))+Assumptions!$B$37*(1-G49/MAX($G$2:$G$74)),0)</f>
        <v>0</v>
      </c>
    </row>
    <row r="50" customFormat="false" ht="15" hidden="false" customHeight="false" outlineLevel="0" collapsed="false">
      <c r="A50" s="0" t="s">
        <v>89</v>
      </c>
      <c r="B50" s="0" t="s">
        <v>109</v>
      </c>
      <c r="C50" s="0" t="s">
        <v>107</v>
      </c>
      <c r="D50" s="0" t="n">
        <v>122.4</v>
      </c>
      <c r="E50" s="0" t="n">
        <v>25</v>
      </c>
      <c r="F50" s="0" t="n">
        <v>54400</v>
      </c>
      <c r="G50" s="1" t="n">
        <f aca="false">Model!BD196/(Model!C196*12)</f>
        <v>635.215305532795</v>
      </c>
      <c r="H50" s="0" t="n">
        <f aca="false">IF(OR(C50="awd",C50="4wd"),Assumptions!$B$34*(D50/MAX($D$2:$D$74))+Assumptions!$B$35*(E50/MAX($E$2:$E$74))+Assumptions!$B$36*(1-F50/MAX($F$2:$F$74))+Assumptions!$B$37*(1-G50/MAX($G$2:$G$74)),0)</f>
        <v>0</v>
      </c>
    </row>
    <row r="51" customFormat="false" ht="15" hidden="false" customHeight="false" outlineLevel="0" collapsed="false">
      <c r="A51" s="0" t="s">
        <v>80</v>
      </c>
      <c r="B51" s="0" t="s">
        <v>110</v>
      </c>
      <c r="C51" s="0" t="s">
        <v>107</v>
      </c>
      <c r="D51" s="0" t="n">
        <v>150.5</v>
      </c>
      <c r="E51" s="0" t="n">
        <v>106</v>
      </c>
      <c r="F51" s="0" t="n">
        <v>52450</v>
      </c>
      <c r="G51" s="1" t="n">
        <f aca="false">Model!BD197/(Model!C197*12)</f>
        <v>534.506110233068</v>
      </c>
      <c r="H51" s="0" t="n">
        <f aca="false">IF(OR(C51="awd",C51="4wd"),Assumptions!$B$34*(D51/MAX($D$2:$D$74))+Assumptions!$B$35*(E51/MAX($E$2:$E$74))+Assumptions!$B$36*(1-F51/MAX($F$2:$F$74))+Assumptions!$B$37*(1-G51/MAX($G$2:$G$74)),0)</f>
        <v>0</v>
      </c>
    </row>
    <row r="52" customFormat="false" ht="15" hidden="false" customHeight="false" outlineLevel="0" collapsed="false">
      <c r="A52" s="0" t="s">
        <v>103</v>
      </c>
      <c r="B52" s="0" t="s">
        <v>111</v>
      </c>
      <c r="C52" s="0" t="s">
        <v>99</v>
      </c>
      <c r="D52" s="0" t="n">
        <v>125.9</v>
      </c>
      <c r="E52" s="0" t="n">
        <v>32</v>
      </c>
      <c r="F52" s="0" t="n">
        <v>27895</v>
      </c>
      <c r="G52" s="1" t="n">
        <f aca="false">Model!BD198/(Model!C198*12)</f>
        <v>414.42972765819</v>
      </c>
      <c r="H52" s="0" t="n">
        <f aca="false">IF(OR(C52="awd",C52="4wd"),Assumptions!$B$34*(D52/MAX($D$2:$D$74))+Assumptions!$B$35*(E52/MAX($E$2:$E$74))+Assumptions!$B$36*(1-F52/MAX($F$2:$F$74))+Assumptions!$B$37*(1-G52/MAX($G$2:$G$74)),0)</f>
        <v>0</v>
      </c>
    </row>
    <row r="53" customFormat="false" ht="15" hidden="false" customHeight="false" outlineLevel="0" collapsed="false">
      <c r="A53" s="0" t="s">
        <v>103</v>
      </c>
      <c r="B53" s="0" t="s">
        <v>112</v>
      </c>
      <c r="C53" s="0" t="s">
        <v>99</v>
      </c>
      <c r="D53" s="0" t="n">
        <v>176.5</v>
      </c>
      <c r="E53" s="0" t="n">
        <v>38</v>
      </c>
      <c r="F53" s="0" t="n">
        <v>34050</v>
      </c>
      <c r="G53" s="1" t="n">
        <f aca="false">Model!BD199/(Model!C199*12)</f>
        <v>438.343968400543</v>
      </c>
      <c r="H53" s="0" t="n">
        <f aca="false">IF(OR(C53="awd",C53="4wd"),Assumptions!$B$34*(D53/MAX($D$2:$D$74))+Assumptions!$B$35*(E53/MAX($E$2:$E$74))+Assumptions!$B$36*(1-F53/MAX($F$2:$F$74))+Assumptions!$B$37*(1-G53/MAX($G$2:$G$74)),0)</f>
        <v>0</v>
      </c>
    </row>
    <row r="54" customFormat="false" ht="15" hidden="false" customHeight="false" outlineLevel="0" collapsed="false">
      <c r="A54" s="0" t="s">
        <v>43</v>
      </c>
      <c r="B54" s="0" t="s">
        <v>113</v>
      </c>
      <c r="C54" s="0" t="s">
        <v>99</v>
      </c>
      <c r="D54" s="0" t="n">
        <v>175.5</v>
      </c>
      <c r="E54" s="0" t="n">
        <v>37</v>
      </c>
      <c r="F54" s="0" t="n">
        <v>37858</v>
      </c>
      <c r="G54" s="1" t="n">
        <f aca="false">Model!BD200/(Model!C200*12)</f>
        <v>499.018224857012</v>
      </c>
      <c r="H54" s="0" t="n">
        <f aca="false">IF(OR(C54="awd",C54="4wd"),Assumptions!$B$34*(D54/MAX($D$2:$D$74))+Assumptions!$B$35*(E54/MAX($E$2:$E$74))+Assumptions!$B$36*(1-F54/MAX($F$2:$F$74))+Assumptions!$B$37*(1-G54/MAX($G$2:$G$74)),0)</f>
        <v>0</v>
      </c>
    </row>
    <row r="55" customFormat="false" ht="15" hidden="false" customHeight="false" outlineLevel="0" collapsed="false">
      <c r="A55" s="0" t="s">
        <v>48</v>
      </c>
      <c r="B55" s="0" t="s">
        <v>114</v>
      </c>
      <c r="C55" s="0" t="s">
        <v>99</v>
      </c>
      <c r="D55" s="0" t="n">
        <v>176.5</v>
      </c>
      <c r="E55" s="0" t="n">
        <v>21</v>
      </c>
      <c r="F55" s="0" t="n">
        <v>41775</v>
      </c>
      <c r="G55" s="1" t="n">
        <f aca="false">Model!BD201/(Model!C201*12)</f>
        <v>575.42322754549</v>
      </c>
      <c r="H55" s="0" t="n">
        <f aca="false">IF(OR(C55="awd",C55="4wd"),Assumptions!$B$34*(D55/MAX($D$2:$D$74))+Assumptions!$B$35*(E55/MAX($E$2:$E$74))+Assumptions!$B$36*(1-F55/MAX($F$2:$F$74))+Assumptions!$B$37*(1-G55/MAX($G$2:$G$74)),0)</f>
        <v>0</v>
      </c>
    </row>
    <row r="56" customFormat="false" ht="15" hidden="false" customHeight="false" outlineLevel="0" collapsed="false">
      <c r="A56" s="0" t="s">
        <v>48</v>
      </c>
      <c r="B56" s="0" t="s">
        <v>115</v>
      </c>
      <c r="C56" s="0" t="s">
        <v>99</v>
      </c>
      <c r="D56" s="0" t="n">
        <v>122.6</v>
      </c>
      <c r="E56" s="0" t="n">
        <v>111</v>
      </c>
      <c r="F56" s="0" t="n">
        <v>38215</v>
      </c>
      <c r="G56" s="1" t="n">
        <f aca="false">Model!BD202/(Model!C202*12)</f>
        <v>494.484556077526</v>
      </c>
      <c r="H56" s="0" t="n">
        <f aca="false">IF(OR(C56="awd",C56="4wd"),Assumptions!$B$34*(D56/MAX($D$2:$D$74))+Assumptions!$B$35*(E56/MAX($E$2:$E$74))+Assumptions!$B$36*(1-F56/MAX($F$2:$F$74))+Assumptions!$B$37*(1-G56/MAX($G$2:$G$74)),0)</f>
        <v>0</v>
      </c>
    </row>
    <row r="57" customFormat="false" ht="15" hidden="false" customHeight="false" outlineLevel="0" collapsed="false">
      <c r="A57" s="0" t="s">
        <v>103</v>
      </c>
      <c r="B57" s="0" t="s">
        <v>116</v>
      </c>
      <c r="C57" s="0" t="s">
        <v>99</v>
      </c>
      <c r="D57" s="0" t="n">
        <v>112.6</v>
      </c>
      <c r="E57" s="0" t="n">
        <v>36</v>
      </c>
      <c r="F57" s="0" t="n">
        <v>23950</v>
      </c>
      <c r="G57" s="1" t="n">
        <f aca="false">Model!BD203/(Model!C203*12)</f>
        <v>388.342028333837</v>
      </c>
      <c r="H57" s="0" t="n">
        <f aca="false">IF(OR(C57="awd",C57="4wd"),Assumptions!$B$34*(D57/MAX($D$2:$D$74))+Assumptions!$B$35*(E57/MAX($E$2:$E$74))+Assumptions!$B$36*(1-F57/MAX($F$2:$F$74))+Assumptions!$B$37*(1-G57/MAX($G$2:$G$74)),0)</f>
        <v>0</v>
      </c>
    </row>
    <row r="58" customFormat="false" ht="15" hidden="false" customHeight="false" outlineLevel="0" collapsed="false">
      <c r="A58" s="0" t="s">
        <v>58</v>
      </c>
      <c r="B58" s="0" t="s">
        <v>117</v>
      </c>
      <c r="C58" s="0" t="s">
        <v>99</v>
      </c>
      <c r="D58" s="0" t="n">
        <v>120.7</v>
      </c>
      <c r="E58" s="0" t="n">
        <v>51</v>
      </c>
      <c r="F58" s="0" t="n">
        <v>27950</v>
      </c>
      <c r="G58" s="1" t="n">
        <f aca="false">Model!BD204/(Model!C204*12)</f>
        <v>407.836557082212</v>
      </c>
      <c r="H58" s="0" t="n">
        <f aca="false">IF(OR(C58="awd",C58="4wd"),Assumptions!$B$34*(D58/MAX($D$2:$D$74))+Assumptions!$B$35*(E58/MAX($E$2:$E$74))+Assumptions!$B$36*(1-F58/MAX($F$2:$F$74))+Assumptions!$B$37*(1-G58/MAX($G$2:$G$74)),0)</f>
        <v>0</v>
      </c>
    </row>
    <row r="59" customFormat="false" ht="15" hidden="false" customHeight="false" outlineLevel="0" collapsed="false">
      <c r="A59" s="0" t="s">
        <v>118</v>
      </c>
      <c r="B59" s="0" t="s">
        <v>119</v>
      </c>
      <c r="C59" s="0" t="s">
        <v>99</v>
      </c>
      <c r="D59" s="0" t="n">
        <v>121.6</v>
      </c>
      <c r="E59" s="0" t="n">
        <v>32</v>
      </c>
      <c r="F59" s="0" t="n">
        <v>35800</v>
      </c>
      <c r="G59" s="1" t="n">
        <f aca="false">Model!BD205/(Model!C205*12)</f>
        <v>499.600118238706</v>
      </c>
      <c r="H59" s="0" t="n">
        <f aca="false">IF(OR(C59="awd",C59="4wd"),Assumptions!$B$34*(D59/MAX($D$2:$D$74))+Assumptions!$B$35*(E59/MAX($E$2:$E$74))+Assumptions!$B$36*(1-F59/MAX($F$2:$F$74))+Assumptions!$B$37*(1-G59/MAX($G$2:$G$74)),0)</f>
        <v>0</v>
      </c>
    </row>
    <row r="60" customFormat="false" ht="15" hidden="false" customHeight="false" outlineLevel="0" collapsed="false">
      <c r="A60" s="0" t="s">
        <v>58</v>
      </c>
      <c r="B60" s="0" t="s">
        <v>120</v>
      </c>
      <c r="C60" s="0" t="s">
        <v>99</v>
      </c>
      <c r="D60" s="0" t="n">
        <v>137.4</v>
      </c>
      <c r="E60" s="0" t="n">
        <v>55</v>
      </c>
      <c r="F60" s="0" t="n">
        <v>34070</v>
      </c>
      <c r="G60" s="1" t="n">
        <f aca="false">Model!BD206/(Model!C206*12)</f>
        <v>443.822795874142</v>
      </c>
      <c r="H60" s="0" t="n">
        <f aca="false">IF(OR(C60="awd",C60="4wd"),Assumptions!$B$34*(D60/MAX($D$2:$D$74))+Assumptions!$B$35*(E60/MAX($E$2:$E$74))+Assumptions!$B$36*(1-F60/MAX($F$2:$F$74))+Assumptions!$B$37*(1-G60/MAX($G$2:$G$74)),0)</f>
        <v>0</v>
      </c>
    </row>
    <row r="61" customFormat="false" ht="15" hidden="false" customHeight="false" outlineLevel="0" collapsed="false">
      <c r="A61" s="0" t="s">
        <v>103</v>
      </c>
      <c r="B61" s="0" t="s">
        <v>122</v>
      </c>
      <c r="C61" s="0" t="s">
        <v>99</v>
      </c>
      <c r="D61" s="0" t="n">
        <v>180.9</v>
      </c>
      <c r="E61" s="0" t="n">
        <v>21</v>
      </c>
      <c r="F61" s="0" t="n">
        <v>42435</v>
      </c>
      <c r="G61" s="1" t="n">
        <f aca="false">Model!BD207/(Model!C207*12)</f>
        <v>562.314505213294</v>
      </c>
      <c r="H61" s="0" t="n">
        <f aca="false">IF(OR(C61="awd",C61="4wd"),Assumptions!$B$34*(D61/MAX($D$2:$D$74))+Assumptions!$B$35*(E61/MAX($E$2:$E$74))+Assumptions!$B$36*(1-F61/MAX($F$2:$F$74))+Assumptions!$B$37*(1-G61/MAX($G$2:$G$74)),0)</f>
        <v>0</v>
      </c>
    </row>
    <row r="62" customFormat="false" ht="15" hidden="false" customHeight="false" outlineLevel="0" collapsed="false">
      <c r="A62" s="0" t="s">
        <v>46</v>
      </c>
      <c r="B62" s="0" t="s">
        <v>123</v>
      </c>
      <c r="C62" s="0" t="s">
        <v>99</v>
      </c>
      <c r="D62" s="0" t="n">
        <v>193.8</v>
      </c>
      <c r="E62" s="0" t="n">
        <v>22</v>
      </c>
      <c r="F62" s="0" t="n">
        <v>39672</v>
      </c>
      <c r="G62" s="1" t="n">
        <f aca="false">Model!BD208/(Model!C208*12)</f>
        <v>556.55740782125</v>
      </c>
      <c r="H62" s="0" t="n">
        <f aca="false">IF(OR(C62="awd",C62="4wd"),Assumptions!$B$34*(D62/MAX($D$2:$D$74))+Assumptions!$B$35*(E62/MAX($E$2:$E$74))+Assumptions!$B$36*(1-F62/MAX($F$2:$F$74))+Assumptions!$B$37*(1-G62/MAX($G$2:$G$74)),0)</f>
        <v>0</v>
      </c>
    </row>
    <row r="63" customFormat="false" ht="15" hidden="false" customHeight="false" outlineLevel="0" collapsed="false">
      <c r="A63" s="0" t="s">
        <v>82</v>
      </c>
      <c r="B63" s="0" t="s">
        <v>124</v>
      </c>
      <c r="C63" s="0" t="s">
        <v>107</v>
      </c>
      <c r="D63" s="0" t="n">
        <v>118</v>
      </c>
      <c r="E63" s="0" t="n">
        <v>32</v>
      </c>
      <c r="F63" s="0" t="n">
        <v>44500</v>
      </c>
      <c r="G63" s="1" t="n">
        <f aca="false">Model!BD209/(Model!C209*12)</f>
        <v>557.578603717851</v>
      </c>
      <c r="H63" s="0" t="n">
        <f aca="false">IF(OR(C63="awd",C63="4wd"),Assumptions!$B$34*(D63/MAX($D$2:$D$74))+Assumptions!$B$35*(E63/MAX($E$2:$E$74))+Assumptions!$B$36*(1-F63/MAX($F$2:$F$74))+Assumptions!$B$37*(1-G63/MAX($G$2:$G$74)),0)</f>
        <v>0</v>
      </c>
    </row>
    <row r="64" customFormat="false" ht="15" hidden="false" customHeight="false" outlineLevel="0" collapsed="false">
      <c r="A64" s="0" t="s">
        <v>43</v>
      </c>
      <c r="B64" s="0" t="s">
        <v>125</v>
      </c>
      <c r="C64" s="0" t="s">
        <v>99</v>
      </c>
      <c r="D64" s="0" t="n">
        <v>184</v>
      </c>
      <c r="E64" s="0" t="n">
        <v>24</v>
      </c>
      <c r="F64" s="0" t="n">
        <v>41866</v>
      </c>
      <c r="G64" s="1" t="n">
        <f aca="false">Model!BD210/(Model!C210*12)</f>
        <v>534.987741350939</v>
      </c>
      <c r="H64" s="0" t="n">
        <f aca="false">IF(OR(C64="awd",C64="4wd"),Assumptions!$B$34*(D64/MAX($D$2:$D$74))+Assumptions!$B$35*(E64/MAX($E$2:$E$74))+Assumptions!$B$36*(1-F64/MAX($F$2:$F$74))+Assumptions!$B$37*(1-G64/MAX($G$2:$G$74)),0)</f>
        <v>0</v>
      </c>
    </row>
    <row r="65" customFormat="false" ht="15" hidden="false" customHeight="false" outlineLevel="0" collapsed="false">
      <c r="A65" s="0" t="s">
        <v>48</v>
      </c>
      <c r="B65" s="0" t="s">
        <v>126</v>
      </c>
      <c r="C65" s="0" t="s">
        <v>127</v>
      </c>
      <c r="D65" s="0" t="n">
        <v>90.1</v>
      </c>
      <c r="E65" s="0" t="n">
        <v>23</v>
      </c>
      <c r="F65" s="0" t="n">
        <v>30030</v>
      </c>
      <c r="G65" s="1" t="n">
        <f aca="false">Model!BD211/(Model!C211*12)</f>
        <v>458.52933849373</v>
      </c>
      <c r="H65" s="0" t="n">
        <f aca="false">IF(OR(C65="awd",C65="4wd"),Assumptions!$B$34*(D65/MAX($D$2:$D$74))+Assumptions!$B$35*(E65/MAX($E$2:$E$74))+Assumptions!$B$36*(1-F65/MAX($F$2:$F$74))+Assumptions!$B$37*(1-G65/MAX($G$2:$G$74)),0)</f>
        <v>0.389564414317366</v>
      </c>
    </row>
    <row r="66" customFormat="false" ht="15" hidden="false" customHeight="false" outlineLevel="0" collapsed="false">
      <c r="A66" s="0" t="s">
        <v>58</v>
      </c>
      <c r="B66" s="0" t="s">
        <v>128</v>
      </c>
      <c r="C66" s="0" t="s">
        <v>99</v>
      </c>
      <c r="D66" s="0" t="n">
        <v>110.4</v>
      </c>
      <c r="E66" s="0" t="n">
        <v>33</v>
      </c>
      <c r="F66" s="0" t="n">
        <v>23500</v>
      </c>
      <c r="G66" s="1" t="n">
        <f aca="false">Model!BD212/(Model!C212*12)</f>
        <v>389.763486248724</v>
      </c>
      <c r="H66" s="0" t="n">
        <f aca="false">IF(OR(C66="awd",C66="4wd"),Assumptions!$B$34*(D66/MAX($D$2:$D$74))+Assumptions!$B$35*(E66/MAX($E$2:$E$74))+Assumptions!$B$36*(1-F66/MAX($F$2:$F$74))+Assumptions!$B$37*(1-G66/MAX($G$2:$G$74)),0)</f>
        <v>0</v>
      </c>
    </row>
    <row r="67" customFormat="false" ht="15" hidden="false" customHeight="false" outlineLevel="0" collapsed="false">
      <c r="A67" s="0" t="s">
        <v>55</v>
      </c>
      <c r="B67" s="0" t="s">
        <v>129</v>
      </c>
      <c r="C67" s="0" t="s">
        <v>99</v>
      </c>
      <c r="D67" s="0" t="n">
        <v>90.1</v>
      </c>
      <c r="E67" s="0" t="n">
        <v>20</v>
      </c>
      <c r="F67" s="0" t="n">
        <v>37100</v>
      </c>
      <c r="G67" s="1" t="n">
        <f aca="false">Model!BD213/(Model!C213*12)</f>
        <v>516.778306755067</v>
      </c>
      <c r="H67" s="0" t="n">
        <f aca="false">IF(OR(C67="awd",C67="4wd"),Assumptions!$B$34*(D67/MAX($D$2:$D$74))+Assumptions!$B$35*(E67/MAX($E$2:$E$74))+Assumptions!$B$36*(1-F67/MAX($F$2:$F$74))+Assumptions!$B$37*(1-G67/MAX($G$2:$G$74)),0)</f>
        <v>0</v>
      </c>
    </row>
    <row r="68" customFormat="false" ht="15" hidden="false" customHeight="false" outlineLevel="0" collapsed="false">
      <c r="A68" s="0" t="s">
        <v>41</v>
      </c>
      <c r="B68" s="0" t="s">
        <v>130</v>
      </c>
      <c r="C68" s="0" t="s">
        <v>99</v>
      </c>
      <c r="D68" s="0" t="n">
        <v>183.8</v>
      </c>
      <c r="E68" s="0" t="n">
        <v>22</v>
      </c>
      <c r="F68" s="0" t="n">
        <v>40457</v>
      </c>
      <c r="G68" s="1" t="n">
        <f aca="false">Model!BD214/(Model!C214*12)</f>
        <v>532.661959280248</v>
      </c>
      <c r="H68" s="0" t="n">
        <f aca="false">IF(OR(C68="awd",C68="4wd"),Assumptions!$B$34*(D68/MAX($D$2:$D$74))+Assumptions!$B$35*(E68/MAX($E$2:$E$74))+Assumptions!$B$36*(1-F68/MAX($F$2:$F$74))+Assumptions!$B$37*(1-G68/MAX($G$2:$G$74)),0)</f>
        <v>0</v>
      </c>
    </row>
    <row r="69" customFormat="false" ht="15" hidden="false" customHeight="false" outlineLevel="0" collapsed="false">
      <c r="A69" s="0" t="s">
        <v>51</v>
      </c>
      <c r="B69" s="0" t="s">
        <v>131</v>
      </c>
      <c r="C69" s="0" t="s">
        <v>99</v>
      </c>
      <c r="D69" s="0" t="n">
        <v>148.9</v>
      </c>
      <c r="E69" s="0" t="n">
        <v>120</v>
      </c>
      <c r="F69" s="0" t="n">
        <v>32180</v>
      </c>
      <c r="G69" s="1" t="n">
        <f aca="false">Model!BD215/(Model!C215*12)</f>
        <v>453.994960192577</v>
      </c>
      <c r="H69" s="0" t="n">
        <f aca="false">IF(OR(C69="awd",C69="4wd"),Assumptions!$B$34*(D69/MAX($D$2:$D$74))+Assumptions!$B$35*(E69/MAX($E$2:$E$74))+Assumptions!$B$36*(1-F69/MAX($F$2:$F$74))+Assumptions!$B$37*(1-G69/MAX($G$2:$G$74)),0)</f>
        <v>0</v>
      </c>
    </row>
    <row r="70" customFormat="false" ht="15" hidden="false" customHeight="false" outlineLevel="0" collapsed="false">
      <c r="A70" s="0" t="s">
        <v>48</v>
      </c>
      <c r="B70" s="0" t="s">
        <v>132</v>
      </c>
      <c r="C70" s="0" t="s">
        <v>107</v>
      </c>
      <c r="D70" s="0" t="n">
        <v>90.2</v>
      </c>
      <c r="E70" s="0" t="n">
        <v>18</v>
      </c>
      <c r="F70" s="0" t="n">
        <v>46040</v>
      </c>
      <c r="G70" s="1" t="n">
        <f aca="false">Model!BD216/(Model!C216*12)</f>
        <v>629.054212689107</v>
      </c>
      <c r="H70" s="0" t="n">
        <f aca="false">IF(OR(C70="awd",C70="4wd"),Assumptions!$B$34*(D70/MAX($D$2:$D$74))+Assumptions!$B$35*(E70/MAX($E$2:$E$74))+Assumptions!$B$36*(1-F70/MAX($F$2:$F$74))+Assumptions!$B$37*(1-G70/MAX($G$2:$G$74)),0)</f>
        <v>0</v>
      </c>
    </row>
    <row r="71" customFormat="false" ht="15" hidden="false" customHeight="false" outlineLevel="0" collapsed="false">
      <c r="A71" s="0" t="s">
        <v>51</v>
      </c>
      <c r="B71" s="0" t="s">
        <v>133</v>
      </c>
      <c r="C71" s="0" t="s">
        <v>107</v>
      </c>
      <c r="D71" s="0" t="n">
        <v>91.4</v>
      </c>
      <c r="E71" s="0" t="n">
        <v>23</v>
      </c>
      <c r="F71" s="0" t="n">
        <v>29500</v>
      </c>
      <c r="G71" s="1" t="n">
        <f aca="false">Model!BD217/(Model!C217*12)</f>
        <v>466.26326556771</v>
      </c>
      <c r="H71" s="0" t="n">
        <f aca="false">IF(OR(C71="awd",C71="4wd"),Assumptions!$B$34*(D71/MAX($D$2:$D$74))+Assumptions!$B$35*(E71/MAX($E$2:$E$74))+Assumptions!$B$36*(1-F71/MAX($F$2:$F$74))+Assumptions!$B$37*(1-G71/MAX($G$2:$G$74)),0)</f>
        <v>0</v>
      </c>
    </row>
    <row r="72" customFormat="false" ht="15" hidden="false" customHeight="false" outlineLevel="0" collapsed="false">
      <c r="A72" s="0" t="s">
        <v>63</v>
      </c>
      <c r="B72" s="0" t="s">
        <v>134</v>
      </c>
      <c r="C72" s="0" t="s">
        <v>99</v>
      </c>
      <c r="D72" s="0" t="n">
        <v>87.3</v>
      </c>
      <c r="E72" s="0" t="n">
        <v>37</v>
      </c>
      <c r="F72" s="0" t="n">
        <v>27468</v>
      </c>
      <c r="G72" s="1" t="n">
        <f aca="false">Model!BD218/(Model!C218*12)</f>
        <v>420.77934000888</v>
      </c>
      <c r="H72" s="0" t="n">
        <f aca="false">IF(OR(C72="awd",C72="4wd"),Assumptions!$B$34*(D72/MAX($D$2:$D$74))+Assumptions!$B$35*(E72/MAX($E$2:$E$74))+Assumptions!$B$36*(1-F72/MAX($F$2:$F$74))+Assumptions!$B$37*(1-G72/MAX($G$2:$G$74)),0)</f>
        <v>0</v>
      </c>
    </row>
    <row r="73" customFormat="false" ht="15" hidden="false" customHeight="false" outlineLevel="0" collapsed="false">
      <c r="A73" s="0" t="s">
        <v>51</v>
      </c>
      <c r="B73" s="0" t="s">
        <v>135</v>
      </c>
      <c r="C73" s="0" t="s">
        <v>99</v>
      </c>
      <c r="D73" s="0" t="n">
        <v>148.9</v>
      </c>
      <c r="E73" s="0" t="n">
        <v>115</v>
      </c>
      <c r="F73" s="0" t="n">
        <v>31880</v>
      </c>
      <c r="G73" s="1" t="n">
        <f aca="false">Model!BD219/(Model!C219*12)</f>
        <v>448.245282477719</v>
      </c>
      <c r="H73" s="0" t="n">
        <f aca="false">IF(OR(C73="awd",C73="4wd"),Assumptions!$B$34*(D73/MAX($D$2:$D$74))+Assumptions!$B$35*(E73/MAX($E$2:$E$74))+Assumptions!$B$36*(1-F73/MAX($F$2:$F$74))+Assumptions!$B$37*(1-G73/MAX($G$2:$G$74)),0)</f>
        <v>0</v>
      </c>
    </row>
    <row r="74" customFormat="false" ht="15" hidden="false" customHeight="false" outlineLevel="0" collapsed="false">
      <c r="A74" s="0" t="s">
        <v>41</v>
      </c>
      <c r="B74" s="0" t="s">
        <v>136</v>
      </c>
      <c r="C74" s="0" t="s">
        <v>99</v>
      </c>
      <c r="D74" s="0" t="n">
        <v>87.2</v>
      </c>
      <c r="E74" s="0" t="n">
        <v>23</v>
      </c>
      <c r="F74" s="0" t="n">
        <v>26900</v>
      </c>
      <c r="G74" s="1" t="n">
        <f aca="false">Model!BD220/(Model!C220*12)</f>
        <v>446.756158792208</v>
      </c>
      <c r="H74" s="0" t="n">
        <f aca="false">IF(OR(C74="awd",C74="4wd"),Assumptions!$B$34*(D74/MAX($D$2:$D$74))+Assumptions!$B$35*(E74/MAX($E$2:$E$74))+Assumptions!$B$36*(1-F74/MAX($F$2:$F$74))+Assumptions!$B$37*(1-G74/MAX($G$2:$G$74)),0)</f>
        <v>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LibreOffice/26.2.4.2$MacOSX_AARCH64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2026-09-03T17:13:30Z</dcterms:created>
  <dc:creator>openpyxl</dc:creator>
  <dc:description/>
  <dc:language>en-US</dc:language>
  <cp:lastModifiedBy/>
  <dcterms:modified xsi:type="dcterms:W3CDTF">2026-09-03T17:13:30Z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